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jekter\21-000\21-075 RN - Energiregnskaber 2020\2 Bilag slutrapport\"/>
    </mc:Choice>
  </mc:AlternateContent>
  <xr:revisionPtr revIDLastSave="0" documentId="13_ncr:1_{DE6DF6DD-C5E0-4850-9F3D-7615C3EB7A49}" xr6:coauthVersionLast="47" xr6:coauthVersionMax="47" xr10:uidLastSave="{00000000-0000-0000-0000-000000000000}"/>
  <bookViews>
    <workbookView xWindow="-120" yWindow="-120" windowWidth="29040" windowHeight="17640" tabRatio="777" xr2:uid="{00000000-000D-0000-FFFF-FFFF00000000}"/>
  </bookViews>
  <sheets>
    <sheet name="810 Brønderslev" sheetId="35" r:id="rId1"/>
    <sheet name="813 Frederikshavn" sheetId="36" r:id="rId2"/>
    <sheet name="860 Hjørring" sheetId="37" r:id="rId3"/>
    <sheet name="849 Jammerbugt" sheetId="16" r:id="rId4"/>
    <sheet name="825 Læsø" sheetId="38" r:id="rId5"/>
    <sheet name="846 Mariagerfjord" sheetId="39" r:id="rId6"/>
    <sheet name="773 Morsø" sheetId="40" r:id="rId7"/>
    <sheet name="840 Rebild" sheetId="41" r:id="rId8"/>
    <sheet name="787 Thisted" sheetId="42" r:id="rId9"/>
    <sheet name="820 Vesthimmerlands" sheetId="43" r:id="rId10"/>
    <sheet name="851 Aalborg" sheetId="44" r:id="rId11"/>
    <sheet name="1081 Region Nordjylland" sheetId="45" r:id="rId12"/>
    <sheet name="1990Tillæg olie" sheetId="47" state="hidden" r:id="rId13"/>
    <sheet name="Enhedsforbrug" sheetId="34" r:id="rId14"/>
    <sheet name="1990" sheetId="4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1" i="48" l="1"/>
  <c r="F141" i="48"/>
  <c r="F139" i="48"/>
  <c r="F138" i="48"/>
  <c r="G137" i="48"/>
  <c r="F135" i="48"/>
  <c r="F134" i="48"/>
  <c r="G133" i="48"/>
  <c r="F133" i="48"/>
  <c r="F131" i="48"/>
  <c r="F130" i="48"/>
  <c r="K123" i="48"/>
  <c r="J123" i="48"/>
  <c r="H123" i="48"/>
  <c r="H141" i="48" s="1"/>
  <c r="G123" i="48"/>
  <c r="F123" i="48"/>
  <c r="E123" i="48"/>
  <c r="C123" i="48"/>
  <c r="K122" i="48"/>
  <c r="J122" i="48"/>
  <c r="H122" i="48"/>
  <c r="H140" i="48" s="1"/>
  <c r="G122" i="48"/>
  <c r="G140" i="48" s="1"/>
  <c r="F122" i="48"/>
  <c r="F140" i="48" s="1"/>
  <c r="E122" i="48"/>
  <c r="C122" i="48"/>
  <c r="K121" i="48"/>
  <c r="J121" i="48"/>
  <c r="H121" i="48"/>
  <c r="H139" i="48" s="1"/>
  <c r="G121" i="48"/>
  <c r="G139" i="48" s="1"/>
  <c r="F121" i="48"/>
  <c r="E121" i="48"/>
  <c r="C121" i="48"/>
  <c r="K120" i="48"/>
  <c r="J120" i="48"/>
  <c r="H120" i="48"/>
  <c r="H138" i="48" s="1"/>
  <c r="G120" i="48"/>
  <c r="G138" i="48" s="1"/>
  <c r="F120" i="48"/>
  <c r="E120" i="48"/>
  <c r="C120" i="48"/>
  <c r="K119" i="48"/>
  <c r="J119" i="48"/>
  <c r="H119" i="48"/>
  <c r="H137" i="48" s="1"/>
  <c r="G119" i="48"/>
  <c r="F119" i="48"/>
  <c r="F137" i="48" s="1"/>
  <c r="E119" i="48"/>
  <c r="C119" i="48"/>
  <c r="K118" i="48"/>
  <c r="J118" i="48"/>
  <c r="H118" i="48"/>
  <c r="H136" i="48" s="1"/>
  <c r="G118" i="48"/>
  <c r="G136" i="48" s="1"/>
  <c r="F118" i="48"/>
  <c r="F136" i="48" s="1"/>
  <c r="E118" i="48"/>
  <c r="C118" i="48"/>
  <c r="K117" i="48"/>
  <c r="J117" i="48"/>
  <c r="H117" i="48"/>
  <c r="H135" i="48" s="1"/>
  <c r="G117" i="48"/>
  <c r="G135" i="48" s="1"/>
  <c r="F117" i="48"/>
  <c r="E117" i="48"/>
  <c r="C117" i="48"/>
  <c r="K116" i="48"/>
  <c r="J116" i="48"/>
  <c r="H116" i="48"/>
  <c r="H134" i="48" s="1"/>
  <c r="G116" i="48"/>
  <c r="G134" i="48" s="1"/>
  <c r="F116" i="48"/>
  <c r="E116" i="48"/>
  <c r="C116" i="48"/>
  <c r="K115" i="48"/>
  <c r="J115" i="48"/>
  <c r="H115" i="48"/>
  <c r="H133" i="48" s="1"/>
  <c r="G115" i="48"/>
  <c r="F115" i="48"/>
  <c r="E115" i="48"/>
  <c r="C115" i="48"/>
  <c r="K114" i="48"/>
  <c r="J114" i="48"/>
  <c r="H114" i="48"/>
  <c r="H132" i="48" s="1"/>
  <c r="G114" i="48"/>
  <c r="G132" i="48" s="1"/>
  <c r="F114" i="48"/>
  <c r="F132" i="48" s="1"/>
  <c r="E114" i="48"/>
  <c r="C114" i="48"/>
  <c r="K113" i="48"/>
  <c r="J113" i="48"/>
  <c r="H113" i="48"/>
  <c r="H131" i="48" s="1"/>
  <c r="G113" i="48"/>
  <c r="G131" i="48" s="1"/>
  <c r="F113" i="48"/>
  <c r="E113" i="48"/>
  <c r="C113" i="48"/>
  <c r="R112" i="48"/>
  <c r="J112" i="48" s="1"/>
  <c r="Q112" i="48"/>
  <c r="P112" i="48"/>
  <c r="K112" i="48"/>
  <c r="H112" i="48"/>
  <c r="H130" i="48" s="1"/>
  <c r="G112" i="48"/>
  <c r="G130" i="48" s="1"/>
  <c r="F112" i="48"/>
  <c r="E112" i="48"/>
  <c r="C112" i="48"/>
  <c r="O84" i="48"/>
  <c r="I84" i="48"/>
  <c r="H84" i="48"/>
  <c r="G84" i="48"/>
  <c r="F84" i="48"/>
  <c r="E84" i="48"/>
  <c r="D84" i="48"/>
  <c r="C84" i="48"/>
  <c r="K84" i="48" s="1"/>
  <c r="O83" i="48"/>
  <c r="I83" i="48"/>
  <c r="H83" i="48"/>
  <c r="G83" i="48"/>
  <c r="F83" i="48"/>
  <c r="E83" i="48"/>
  <c r="D83" i="48"/>
  <c r="C83" i="48"/>
  <c r="K83" i="48" s="1"/>
  <c r="O82" i="48"/>
  <c r="I82" i="48"/>
  <c r="H82" i="48"/>
  <c r="G82" i="48"/>
  <c r="F82" i="48"/>
  <c r="E82" i="48"/>
  <c r="K82" i="48" s="1"/>
  <c r="D82" i="48"/>
  <c r="C82" i="48"/>
  <c r="O81" i="48"/>
  <c r="I81" i="48"/>
  <c r="H81" i="48"/>
  <c r="G81" i="48"/>
  <c r="F81" i="48"/>
  <c r="E81" i="48"/>
  <c r="D81" i="48"/>
  <c r="C81" i="48"/>
  <c r="K81" i="48" s="1"/>
  <c r="O80" i="48"/>
  <c r="I80" i="48"/>
  <c r="H80" i="48"/>
  <c r="G80" i="48"/>
  <c r="F80" i="48"/>
  <c r="E80" i="48"/>
  <c r="D80" i="48"/>
  <c r="C80" i="48"/>
  <c r="K80" i="48" s="1"/>
  <c r="O79" i="48"/>
  <c r="I79" i="48"/>
  <c r="H79" i="48"/>
  <c r="G79" i="48"/>
  <c r="F79" i="48"/>
  <c r="E79" i="48"/>
  <c r="K79" i="48" s="1"/>
  <c r="D79" i="48"/>
  <c r="C79" i="48"/>
  <c r="O78" i="48"/>
  <c r="I78" i="48"/>
  <c r="K78" i="48" s="1"/>
  <c r="H78" i="48"/>
  <c r="G78" i="48"/>
  <c r="F78" i="48"/>
  <c r="E78" i="48"/>
  <c r="D78" i="48"/>
  <c r="C78" i="48"/>
  <c r="O77" i="48"/>
  <c r="K77" i="48"/>
  <c r="I77" i="48"/>
  <c r="H77" i="48"/>
  <c r="G77" i="48"/>
  <c r="F77" i="48"/>
  <c r="E77" i="48"/>
  <c r="D77" i="48"/>
  <c r="C77" i="48"/>
  <c r="O76" i="48"/>
  <c r="I76" i="48"/>
  <c r="H76" i="48"/>
  <c r="G76" i="48"/>
  <c r="F76" i="48"/>
  <c r="E76" i="48"/>
  <c r="D76" i="48"/>
  <c r="C76" i="48"/>
  <c r="K76" i="48" s="1"/>
  <c r="O75" i="48"/>
  <c r="I75" i="48"/>
  <c r="H75" i="48"/>
  <c r="G75" i="48"/>
  <c r="F75" i="48"/>
  <c r="E75" i="48"/>
  <c r="D75" i="48"/>
  <c r="C75" i="48"/>
  <c r="K75" i="48" s="1"/>
  <c r="O74" i="48"/>
  <c r="I74" i="48"/>
  <c r="H74" i="48"/>
  <c r="G74" i="48"/>
  <c r="F74" i="48"/>
  <c r="E74" i="48"/>
  <c r="K74" i="48" s="1"/>
  <c r="D74" i="48"/>
  <c r="C74" i="48"/>
  <c r="O73" i="48"/>
  <c r="I73" i="48"/>
  <c r="H73" i="48"/>
  <c r="G73" i="48"/>
  <c r="F73" i="48"/>
  <c r="E73" i="48"/>
  <c r="D73" i="48"/>
  <c r="C73" i="48"/>
  <c r="K73" i="48" s="1"/>
  <c r="I68" i="48"/>
  <c r="H68" i="48"/>
  <c r="G68" i="48"/>
  <c r="D68" i="48"/>
  <c r="J67" i="48"/>
  <c r="I67" i="48"/>
  <c r="H67" i="48"/>
  <c r="E67" i="48"/>
  <c r="J66" i="48"/>
  <c r="I66" i="48"/>
  <c r="F66" i="48"/>
  <c r="C66" i="48"/>
  <c r="J65" i="48"/>
  <c r="G65" i="48"/>
  <c r="D65" i="48"/>
  <c r="C65" i="48"/>
  <c r="H64" i="48"/>
  <c r="E64" i="48"/>
  <c r="D64" i="48"/>
  <c r="C64" i="48"/>
  <c r="I63" i="48"/>
  <c r="F63" i="48"/>
  <c r="E63" i="48"/>
  <c r="D63" i="48"/>
  <c r="J62" i="48"/>
  <c r="G62" i="48"/>
  <c r="F62" i="48"/>
  <c r="E62" i="48"/>
  <c r="H61" i="48"/>
  <c r="G61" i="48"/>
  <c r="F61" i="48"/>
  <c r="C61" i="48"/>
  <c r="I60" i="48"/>
  <c r="H60" i="48"/>
  <c r="G60" i="48"/>
  <c r="D60" i="48"/>
  <c r="J59" i="48"/>
  <c r="I59" i="48"/>
  <c r="H59" i="48"/>
  <c r="E59" i="48"/>
  <c r="J58" i="48"/>
  <c r="I58" i="48"/>
  <c r="F58" i="48"/>
  <c r="C58" i="48"/>
  <c r="J57" i="48"/>
  <c r="G57" i="48"/>
  <c r="D57" i="48"/>
  <c r="C57" i="48"/>
  <c r="H56" i="48"/>
  <c r="E56" i="48"/>
  <c r="D56" i="48"/>
  <c r="C56" i="48"/>
  <c r="G52" i="48"/>
  <c r="J50" i="48"/>
  <c r="J68" i="48" s="1"/>
  <c r="I50" i="48"/>
  <c r="H50" i="48"/>
  <c r="G50" i="48"/>
  <c r="F50" i="48"/>
  <c r="F68" i="48" s="1"/>
  <c r="E50" i="48"/>
  <c r="E68" i="48" s="1"/>
  <c r="D50" i="48"/>
  <c r="C50" i="48"/>
  <c r="K50" i="48" s="1"/>
  <c r="J49" i="48"/>
  <c r="I49" i="48"/>
  <c r="H49" i="48"/>
  <c r="G49" i="48"/>
  <c r="G67" i="48" s="1"/>
  <c r="F49" i="48"/>
  <c r="F67" i="48" s="1"/>
  <c r="E49" i="48"/>
  <c r="D49" i="48"/>
  <c r="D67" i="48" s="1"/>
  <c r="C49" i="48"/>
  <c r="C67" i="48" s="1"/>
  <c r="J48" i="48"/>
  <c r="I48" i="48"/>
  <c r="H48" i="48"/>
  <c r="H66" i="48" s="1"/>
  <c r="G48" i="48"/>
  <c r="G66" i="48" s="1"/>
  <c r="F48" i="48"/>
  <c r="E48" i="48"/>
  <c r="E66" i="48" s="1"/>
  <c r="D48" i="48"/>
  <c r="D66" i="48" s="1"/>
  <c r="C48" i="48"/>
  <c r="K48" i="48" s="1"/>
  <c r="J47" i="48"/>
  <c r="I47" i="48"/>
  <c r="I65" i="48" s="1"/>
  <c r="H47" i="48"/>
  <c r="H65" i="48" s="1"/>
  <c r="G47" i="48"/>
  <c r="F47" i="48"/>
  <c r="F65" i="48" s="1"/>
  <c r="E47" i="48"/>
  <c r="E65" i="48" s="1"/>
  <c r="D47" i="48"/>
  <c r="C47" i="48"/>
  <c r="K47" i="48" s="1"/>
  <c r="J46" i="48"/>
  <c r="J64" i="48" s="1"/>
  <c r="I46" i="48"/>
  <c r="I64" i="48" s="1"/>
  <c r="H46" i="48"/>
  <c r="G46" i="48"/>
  <c r="G64" i="48" s="1"/>
  <c r="F46" i="48"/>
  <c r="F64" i="48" s="1"/>
  <c r="E46" i="48"/>
  <c r="D46" i="48"/>
  <c r="C46" i="48"/>
  <c r="K46" i="48" s="1"/>
  <c r="J45" i="48"/>
  <c r="K45" i="48" s="1"/>
  <c r="I45" i="48"/>
  <c r="H45" i="48"/>
  <c r="H63" i="48" s="1"/>
  <c r="G45" i="48"/>
  <c r="G63" i="48" s="1"/>
  <c r="F45" i="48"/>
  <c r="E45" i="48"/>
  <c r="D45" i="48"/>
  <c r="C45" i="48"/>
  <c r="C63" i="48" s="1"/>
  <c r="J44" i="48"/>
  <c r="I44" i="48"/>
  <c r="I62" i="48" s="1"/>
  <c r="H44" i="48"/>
  <c r="H62" i="48" s="1"/>
  <c r="G44" i="48"/>
  <c r="F44" i="48"/>
  <c r="E44" i="48"/>
  <c r="D44" i="48"/>
  <c r="D62" i="48" s="1"/>
  <c r="C44" i="48"/>
  <c r="K44" i="48" s="1"/>
  <c r="J43" i="48"/>
  <c r="J61" i="48" s="1"/>
  <c r="I43" i="48"/>
  <c r="I61" i="48" s="1"/>
  <c r="H43" i="48"/>
  <c r="G43" i="48"/>
  <c r="F43" i="48"/>
  <c r="E43" i="48"/>
  <c r="E61" i="48" s="1"/>
  <c r="D43" i="48"/>
  <c r="D61" i="48" s="1"/>
  <c r="C43" i="48"/>
  <c r="K43" i="48" s="1"/>
  <c r="J42" i="48"/>
  <c r="J60" i="48" s="1"/>
  <c r="I42" i="48"/>
  <c r="H42" i="48"/>
  <c r="G42" i="48"/>
  <c r="F42" i="48"/>
  <c r="F60" i="48" s="1"/>
  <c r="E42" i="48"/>
  <c r="E60" i="48" s="1"/>
  <c r="D42" i="48"/>
  <c r="C42" i="48"/>
  <c r="K42" i="48" s="1"/>
  <c r="J41" i="48"/>
  <c r="I41" i="48"/>
  <c r="H41" i="48"/>
  <c r="G41" i="48"/>
  <c r="G59" i="48" s="1"/>
  <c r="F41" i="48"/>
  <c r="F59" i="48" s="1"/>
  <c r="E41" i="48"/>
  <c r="D41" i="48"/>
  <c r="D59" i="48" s="1"/>
  <c r="C41" i="48"/>
  <c r="C59" i="48" s="1"/>
  <c r="J40" i="48"/>
  <c r="I40" i="48"/>
  <c r="H40" i="48"/>
  <c r="H58" i="48" s="1"/>
  <c r="G40" i="48"/>
  <c r="G58" i="48" s="1"/>
  <c r="F40" i="48"/>
  <c r="E40" i="48"/>
  <c r="E58" i="48" s="1"/>
  <c r="D40" i="48"/>
  <c r="D58" i="48" s="1"/>
  <c r="C40" i="48"/>
  <c r="K40" i="48" s="1"/>
  <c r="J39" i="48"/>
  <c r="I39" i="48"/>
  <c r="I57" i="48" s="1"/>
  <c r="H39" i="48"/>
  <c r="H57" i="48" s="1"/>
  <c r="G39" i="48"/>
  <c r="F39" i="48"/>
  <c r="F57" i="48" s="1"/>
  <c r="E39" i="48"/>
  <c r="E57" i="48" s="1"/>
  <c r="D39" i="48"/>
  <c r="C39" i="48"/>
  <c r="K39" i="48" s="1"/>
  <c r="J38" i="48"/>
  <c r="J56" i="48" s="1"/>
  <c r="I38" i="48"/>
  <c r="I56" i="48" s="1"/>
  <c r="H38" i="48"/>
  <c r="G38" i="48"/>
  <c r="G56" i="48" s="1"/>
  <c r="F38" i="48"/>
  <c r="F56" i="48" s="1"/>
  <c r="E38" i="48"/>
  <c r="D38" i="48"/>
  <c r="C38" i="48"/>
  <c r="K38" i="48" s="1"/>
  <c r="K34" i="48"/>
  <c r="K33" i="48"/>
  <c r="K32" i="48"/>
  <c r="K31" i="48"/>
  <c r="K30" i="48"/>
  <c r="K29" i="48"/>
  <c r="K28" i="48"/>
  <c r="K27" i="48"/>
  <c r="K26" i="48"/>
  <c r="K25" i="48"/>
  <c r="K24" i="48"/>
  <c r="K23" i="48"/>
  <c r="K22" i="48"/>
  <c r="K18" i="48"/>
  <c r="K17" i="48"/>
  <c r="K16" i="48"/>
  <c r="K15" i="48"/>
  <c r="K14" i="48"/>
  <c r="K13" i="48"/>
  <c r="K12" i="48"/>
  <c r="K11" i="48"/>
  <c r="K10" i="48"/>
  <c r="K9" i="48"/>
  <c r="K8" i="48"/>
  <c r="K7" i="48"/>
  <c r="K6" i="48"/>
  <c r="G7" i="37"/>
  <c r="G8" i="37"/>
  <c r="E38" i="45"/>
  <c r="E33" i="45"/>
  <c r="H21" i="45"/>
  <c r="K10" i="45"/>
  <c r="K31" i="45"/>
  <c r="B32" i="45"/>
  <c r="K39" i="45"/>
  <c r="I31" i="45"/>
  <c r="L18" i="45"/>
  <c r="C17" i="45"/>
  <c r="I11" i="45"/>
  <c r="H28" i="45"/>
  <c r="K37" i="45"/>
  <c r="J31" i="45"/>
  <c r="L17" i="45"/>
  <c r="B23" i="45"/>
  <c r="I23" i="45"/>
  <c r="K43" i="45"/>
  <c r="I30" i="45"/>
  <c r="K17" i="45"/>
  <c r="B22" i="45"/>
  <c r="B41" i="45"/>
  <c r="C38" i="45"/>
  <c r="D32" i="45"/>
  <c r="F20" i="45"/>
  <c r="K9" i="45"/>
  <c r="B33" i="45"/>
  <c r="E23" i="45"/>
  <c r="H39" i="45"/>
  <c r="K29" i="45"/>
  <c r="J17" i="45"/>
  <c r="L12" i="45"/>
  <c r="J13" i="45"/>
  <c r="L21" i="45"/>
  <c r="H37" i="45"/>
  <c r="J27" i="45"/>
  <c r="I18" i="45"/>
  <c r="K11" i="45"/>
  <c r="D12" i="45"/>
  <c r="H43" i="45"/>
  <c r="H32" i="45"/>
  <c r="K20" i="45"/>
  <c r="J10" i="45"/>
  <c r="J38" i="45"/>
  <c r="I40" i="45"/>
  <c r="I38" i="45"/>
  <c r="F38" i="45"/>
  <c r="F28" i="45"/>
  <c r="E17" i="45"/>
  <c r="I13" i="45"/>
  <c r="L22" i="45"/>
  <c r="K18" i="45"/>
  <c r="H42" i="45"/>
  <c r="I32" i="45"/>
  <c r="K23" i="45"/>
  <c r="B18" i="45"/>
  <c r="E7" i="45"/>
  <c r="B39" i="45"/>
  <c r="F31" i="45"/>
  <c r="K22" i="45"/>
  <c r="L7" i="45"/>
  <c r="H41" i="45"/>
  <c r="G11" i="45"/>
  <c r="B31" i="45"/>
  <c r="D41" i="45"/>
  <c r="C32" i="45"/>
  <c r="H38" i="45"/>
  <c r="D37" i="45"/>
  <c r="B37" i="45"/>
  <c r="C30" i="45"/>
  <c r="E21" i="45"/>
  <c r="G8" i="45"/>
  <c r="D23" i="45"/>
  <c r="B19" i="45"/>
  <c r="G37" i="45"/>
  <c r="H27" i="45"/>
  <c r="I19" i="45"/>
  <c r="I7" i="45"/>
  <c r="E41" i="45"/>
  <c r="D22" i="45"/>
  <c r="G43" i="45"/>
  <c r="G30" i="45"/>
  <c r="K21" i="45"/>
  <c r="E12" i="45"/>
  <c r="G38" i="45"/>
  <c r="F43" i="45"/>
  <c r="G28" i="45"/>
  <c r="J19" i="45"/>
  <c r="K8" i="45"/>
  <c r="B40" i="45"/>
  <c r="E39" i="45"/>
  <c r="J39" i="45"/>
  <c r="L33" i="45"/>
  <c r="F30" i="45"/>
  <c r="G19" i="45"/>
  <c r="H10" i="45"/>
  <c r="I17" i="45"/>
  <c r="G7" i="45"/>
  <c r="G42" i="45"/>
  <c r="H30" i="45"/>
  <c r="J22" i="45"/>
  <c r="D13" i="45"/>
  <c r="L37" i="45"/>
  <c r="J29" i="45"/>
  <c r="L23" i="45"/>
  <c r="H11" i="45"/>
  <c r="C21" i="45"/>
  <c r="E40" i="45"/>
  <c r="G31" i="45"/>
  <c r="I20" i="45"/>
  <c r="K32" i="45"/>
  <c r="F27" i="45"/>
  <c r="I33" i="45"/>
  <c r="G18" i="45"/>
  <c r="C13" i="45"/>
  <c r="J11" i="45"/>
  <c r="H9" i="45"/>
  <c r="C37" i="45"/>
  <c r="D31" i="45"/>
  <c r="F19" i="45"/>
  <c r="H23" i="45"/>
  <c r="D43" i="45"/>
  <c r="D30" i="45"/>
  <c r="F18" i="45"/>
  <c r="D42" i="45"/>
  <c r="B42" i="45"/>
  <c r="D29" i="45"/>
  <c r="D11" i="45"/>
  <c r="H31" i="45"/>
  <c r="I29" i="45"/>
  <c r="J20" i="45"/>
  <c r="B21" i="45"/>
  <c r="H12" i="45"/>
  <c r="D40" i="45"/>
  <c r="D33" i="45"/>
  <c r="L10" i="45"/>
  <c r="K19" i="45"/>
  <c r="E10" i="45"/>
  <c r="G40" i="45"/>
  <c r="L41" i="45"/>
  <c r="G20" i="45"/>
  <c r="K33" i="45"/>
  <c r="L39" i="45"/>
  <c r="I12" i="45"/>
  <c r="C42" i="45"/>
  <c r="L32" i="45"/>
  <c r="J30" i="45"/>
  <c r="G10" i="45"/>
  <c r="E8" i="45"/>
  <c r="F23" i="45"/>
  <c r="K38" i="45"/>
  <c r="D8" i="45"/>
  <c r="J43" i="45"/>
  <c r="L28" i="45"/>
  <c r="C33" i="45"/>
  <c r="D20" i="45"/>
  <c r="D9" i="45"/>
  <c r="E11" i="45"/>
  <c r="C11" i="45"/>
  <c r="E37" i="45"/>
  <c r="E32" i="45"/>
  <c r="H19" i="45"/>
  <c r="J9" i="45"/>
  <c r="E28" i="45"/>
  <c r="G12" i="45"/>
  <c r="E43" i="45"/>
  <c r="E31" i="45"/>
  <c r="H20" i="45"/>
  <c r="I8" i="45"/>
  <c r="H22" i="45"/>
  <c r="C43" i="45"/>
  <c r="E30" i="45"/>
  <c r="H18" i="45"/>
  <c r="H7" i="45"/>
  <c r="F42" i="45"/>
  <c r="K27" i="45"/>
  <c r="L38" i="45"/>
  <c r="J32" i="45"/>
  <c r="C22" i="45"/>
  <c r="K12" i="45"/>
  <c r="L11" i="45"/>
  <c r="B30" i="45"/>
  <c r="J8" i="45"/>
  <c r="B43" i="45"/>
  <c r="G13" i="45"/>
  <c r="F17" i="45"/>
  <c r="K42" i="45"/>
  <c r="L13" i="45"/>
  <c r="C39" i="45"/>
  <c r="F32" i="45"/>
  <c r="H29" i="45"/>
  <c r="L40" i="45"/>
  <c r="B27" i="45"/>
  <c r="F7" i="45"/>
  <c r="I10" i="45"/>
  <c r="D28" i="45"/>
  <c r="L20" i="45"/>
  <c r="L42" i="45"/>
  <c r="E27" i="45"/>
  <c r="F21" i="45"/>
  <c r="H8" i="45"/>
  <c r="G39" i="45"/>
  <c r="B29" i="45"/>
  <c r="B28" i="45"/>
  <c r="C23" i="45"/>
  <c r="E29" i="45"/>
  <c r="L43" i="45"/>
  <c r="J7" i="45"/>
  <c r="L9" i="45"/>
  <c r="K30" i="45"/>
  <c r="K40" i="45"/>
  <c r="J33" i="45"/>
  <c r="L19" i="45"/>
  <c r="C18" i="45"/>
  <c r="K13" i="45"/>
  <c r="J37" i="45"/>
  <c r="I42" i="45"/>
  <c r="F40" i="45"/>
  <c r="C29" i="45"/>
  <c r="E20" i="45"/>
  <c r="C10" i="45"/>
  <c r="B20" i="45"/>
  <c r="I41" i="45"/>
  <c r="F37" i="45"/>
  <c r="C28" i="45"/>
  <c r="E19" i="45"/>
  <c r="L8" i="45"/>
  <c r="I39" i="45"/>
  <c r="F41" i="45"/>
  <c r="C27" i="45"/>
  <c r="E18" i="45"/>
  <c r="K7" i="45"/>
  <c r="D27" i="45"/>
  <c r="J18" i="45"/>
  <c r="G41" i="45"/>
  <c r="H33" i="45"/>
  <c r="J23" i="45"/>
  <c r="I9" i="45"/>
  <c r="I43" i="45"/>
  <c r="D39" i="45"/>
  <c r="D38" i="45"/>
  <c r="B38" i="45"/>
  <c r="C31" i="45"/>
  <c r="E22" i="45"/>
  <c r="D10" i="45"/>
  <c r="F22" i="45"/>
  <c r="G23" i="45"/>
  <c r="H40" i="45"/>
  <c r="I27" i="45"/>
  <c r="J21" i="45"/>
  <c r="B17" i="45"/>
  <c r="G9" i="45"/>
  <c r="F39" i="45"/>
  <c r="J42" i="45"/>
  <c r="L30" i="45"/>
  <c r="F29" i="45"/>
  <c r="D19" i="45"/>
  <c r="C8" i="45"/>
  <c r="D7" i="45"/>
  <c r="J41" i="45"/>
  <c r="L29" i="45"/>
  <c r="F33" i="45"/>
  <c r="D18" i="45"/>
  <c r="C7" i="45"/>
  <c r="J40" i="45"/>
  <c r="L27" i="45"/>
  <c r="G33" i="45"/>
  <c r="D17" i="45"/>
  <c r="J12" i="45"/>
  <c r="I21" i="45"/>
  <c r="C20" i="45"/>
  <c r="E42" i="45"/>
  <c r="G29" i="45"/>
  <c r="I22" i="45"/>
  <c r="H13" i="45"/>
  <c r="C41" i="45"/>
  <c r="C40" i="45"/>
  <c r="I37" i="45"/>
  <c r="L31" i="45"/>
  <c r="D21" i="45"/>
  <c r="C9" i="45"/>
  <c r="C12" i="45"/>
  <c r="G32" i="45"/>
  <c r="J28" i="45"/>
  <c r="K41" i="45"/>
  <c r="G21" i="45"/>
  <c r="K28" i="45"/>
  <c r="G22" i="45"/>
  <c r="H17" i="45"/>
  <c r="I28" i="45"/>
  <c r="G17" i="45"/>
  <c r="E9" i="45"/>
  <c r="G27" i="45"/>
  <c r="C19" i="45"/>
  <c r="K59" i="48" l="1"/>
  <c r="K92" i="48" s="1"/>
  <c r="D114" i="48" s="1"/>
  <c r="K63" i="48"/>
  <c r="K67" i="48"/>
  <c r="K100" i="48" s="1"/>
  <c r="D122" i="48" s="1"/>
  <c r="K96" i="48"/>
  <c r="D118" i="48" s="1"/>
  <c r="D136" i="48" s="1"/>
  <c r="K58" i="48"/>
  <c r="K91" i="48" s="1"/>
  <c r="D113" i="48" s="1"/>
  <c r="K64" i="48"/>
  <c r="K56" i="48"/>
  <c r="K66" i="48"/>
  <c r="K99" i="48" s="1"/>
  <c r="D121" i="48" s="1"/>
  <c r="M119" i="48"/>
  <c r="K94" i="48"/>
  <c r="D116" i="48" s="1"/>
  <c r="D134" i="48" s="1"/>
  <c r="K97" i="48"/>
  <c r="D119" i="48" s="1"/>
  <c r="D137" i="48" s="1"/>
  <c r="K57" i="48"/>
  <c r="K61" i="48"/>
  <c r="K65" i="48"/>
  <c r="K98" i="48" s="1"/>
  <c r="D120" i="48" s="1"/>
  <c r="K90" i="48"/>
  <c r="D112" i="48" s="1"/>
  <c r="D130" i="48" s="1"/>
  <c r="C60" i="48"/>
  <c r="K60" i="48" s="1"/>
  <c r="K93" i="48" s="1"/>
  <c r="D115" i="48" s="1"/>
  <c r="C68" i="48"/>
  <c r="K68" i="48" s="1"/>
  <c r="K101" i="48" s="1"/>
  <c r="D123" i="48" s="1"/>
  <c r="K49" i="48"/>
  <c r="C62" i="48"/>
  <c r="K62" i="48" s="1"/>
  <c r="K95" i="48" s="1"/>
  <c r="D117" i="48" s="1"/>
  <c r="J63" i="48"/>
  <c r="K41" i="48"/>
  <c r="M37" i="45"/>
  <c r="M38" i="45"/>
  <c r="M39" i="45"/>
  <c r="M40" i="45"/>
  <c r="M41" i="45"/>
  <c r="M42" i="45"/>
  <c r="J38" i="44"/>
  <c r="J37" i="44"/>
  <c r="J28" i="44"/>
  <c r="J27" i="44"/>
  <c r="J48" i="44"/>
  <c r="J47" i="44"/>
  <c r="H12" i="44"/>
  <c r="H11" i="44"/>
  <c r="H10" i="44"/>
  <c r="H9" i="44"/>
  <c r="H8" i="44"/>
  <c r="H7" i="44"/>
  <c r="H13" i="44" s="1"/>
  <c r="G10" i="44"/>
  <c r="G11" i="44"/>
  <c r="G12" i="44"/>
  <c r="G9" i="44"/>
  <c r="G8" i="44"/>
  <c r="G7" i="44"/>
  <c r="J18" i="44"/>
  <c r="J17" i="44"/>
  <c r="E11" i="44"/>
  <c r="D131" i="48" l="1"/>
  <c r="M113" i="48"/>
  <c r="D135" i="48"/>
  <c r="M117" i="48"/>
  <c r="D141" i="48"/>
  <c r="M123" i="48"/>
  <c r="D133" i="48"/>
  <c r="M115" i="48"/>
  <c r="D138" i="48"/>
  <c r="M120" i="48"/>
  <c r="D140" i="48"/>
  <c r="M122" i="48"/>
  <c r="D132" i="48"/>
  <c r="M114" i="48"/>
  <c r="D139" i="48"/>
  <c r="M121" i="48"/>
  <c r="M118" i="48"/>
  <c r="M116" i="48"/>
  <c r="M112" i="48"/>
  <c r="E12" i="43"/>
  <c r="E11" i="43"/>
  <c r="E10" i="43"/>
  <c r="E9" i="43"/>
  <c r="E8" i="43"/>
  <c r="E7" i="43"/>
  <c r="E13" i="43" s="1"/>
  <c r="E13" i="42"/>
  <c r="E12" i="42"/>
  <c r="E11" i="42"/>
  <c r="E10" i="42"/>
  <c r="E9" i="42"/>
  <c r="E8" i="42"/>
  <c r="E7" i="42"/>
  <c r="E13" i="41"/>
  <c r="E12" i="41"/>
  <c r="E11" i="41"/>
  <c r="E10" i="41"/>
  <c r="E9" i="41"/>
  <c r="E8" i="41"/>
  <c r="E7" i="41"/>
  <c r="D8" i="43"/>
  <c r="D9" i="43"/>
  <c r="D10" i="43"/>
  <c r="D11" i="43"/>
  <c r="D12" i="43"/>
  <c r="D7" i="43"/>
  <c r="C12" i="43"/>
  <c r="C11" i="43"/>
  <c r="C9" i="43"/>
  <c r="D8" i="42" l="1"/>
  <c r="D9" i="42"/>
  <c r="D10" i="42"/>
  <c r="D11" i="42"/>
  <c r="D12" i="42"/>
  <c r="D7" i="42"/>
  <c r="G38" i="42"/>
  <c r="G37" i="42"/>
  <c r="G48" i="42"/>
  <c r="G47" i="42"/>
  <c r="D8" i="41"/>
  <c r="D9" i="41"/>
  <c r="D10" i="41"/>
  <c r="D11" i="41"/>
  <c r="D12" i="41"/>
  <c r="D7" i="41"/>
  <c r="E13" i="40" l="1"/>
  <c r="E12" i="40"/>
  <c r="E11" i="40"/>
  <c r="E10" i="40"/>
  <c r="E9" i="40"/>
  <c r="E8" i="40"/>
  <c r="E7" i="40"/>
  <c r="D10" i="40"/>
  <c r="D11" i="40"/>
  <c r="D12" i="40"/>
  <c r="D9" i="40"/>
  <c r="D8" i="40"/>
  <c r="D7" i="40"/>
  <c r="G38" i="40"/>
  <c r="G37" i="40"/>
  <c r="C12" i="40"/>
  <c r="C11" i="40"/>
  <c r="C9" i="40"/>
  <c r="E7" i="39" l="1"/>
  <c r="E8" i="39"/>
  <c r="C12" i="39" l="1"/>
  <c r="C11" i="39"/>
  <c r="D13" i="38" l="1"/>
  <c r="D8" i="38"/>
  <c r="D9" i="38"/>
  <c r="D10" i="38"/>
  <c r="D11" i="38"/>
  <c r="D12" i="38"/>
  <c r="D7" i="38"/>
  <c r="C10" i="38"/>
  <c r="C11" i="38"/>
  <c r="C12" i="38"/>
  <c r="C9" i="38"/>
  <c r="C8" i="38"/>
  <c r="C7" i="38"/>
  <c r="F28" i="38"/>
  <c r="F27" i="38"/>
  <c r="E13" i="16" l="1"/>
  <c r="E8" i="16"/>
  <c r="E9" i="16"/>
  <c r="E10" i="16"/>
  <c r="E11" i="16"/>
  <c r="E12" i="16"/>
  <c r="E7" i="16"/>
  <c r="D10" i="16"/>
  <c r="D11" i="16"/>
  <c r="D12" i="16"/>
  <c r="D9" i="16"/>
  <c r="D8" i="16"/>
  <c r="D7" i="16"/>
  <c r="G38" i="16"/>
  <c r="G37" i="16"/>
  <c r="H8" i="37"/>
  <c r="H7" i="37"/>
  <c r="H9" i="37"/>
  <c r="H10" i="37"/>
  <c r="H11" i="37"/>
  <c r="H12" i="37"/>
  <c r="G9" i="37"/>
  <c r="G10" i="37"/>
  <c r="G11" i="37"/>
  <c r="G12" i="37"/>
  <c r="J48" i="37"/>
  <c r="J47" i="37"/>
  <c r="H13" i="37" l="1"/>
  <c r="E10" i="36"/>
  <c r="F10" i="36" s="1"/>
  <c r="E11" i="36"/>
  <c r="E12" i="36"/>
  <c r="E9" i="36"/>
  <c r="F8" i="36"/>
  <c r="F9" i="36"/>
  <c r="F13" i="36" s="1"/>
  <c r="F11" i="36"/>
  <c r="F12" i="36"/>
  <c r="E8" i="36"/>
  <c r="E7" i="36"/>
  <c r="F7" i="36" s="1"/>
  <c r="C8" i="35"/>
  <c r="C7" i="35"/>
  <c r="G38" i="35"/>
  <c r="G37" i="35"/>
  <c r="H38" i="36"/>
  <c r="H37" i="36"/>
  <c r="D8" i="35" l="1"/>
  <c r="D9" i="35"/>
  <c r="D10" i="35"/>
  <c r="D11" i="35"/>
  <c r="D12" i="35"/>
  <c r="D7" i="35"/>
  <c r="C12" i="35"/>
  <c r="C11" i="35"/>
  <c r="C10" i="35"/>
  <c r="C9" i="35"/>
  <c r="E9" i="39"/>
  <c r="E10" i="39"/>
  <c r="F10" i="39" s="1"/>
  <c r="E11" i="39"/>
  <c r="F11" i="39" s="1"/>
  <c r="E12" i="39"/>
  <c r="F12" i="39" s="1"/>
  <c r="F9" i="39"/>
  <c r="N11" i="47"/>
  <c r="N13" i="47"/>
  <c r="N10" i="47"/>
  <c r="N12" i="47"/>
  <c r="N9" i="47"/>
  <c r="N14" i="47"/>
  <c r="B13" i="45"/>
  <c r="F9" i="45"/>
  <c r="F8" i="45"/>
  <c r="F10" i="45"/>
  <c r="B9" i="45"/>
  <c r="B10" i="45"/>
  <c r="B7" i="45"/>
  <c r="B12" i="45"/>
  <c r="E13" i="45"/>
  <c r="B11" i="45"/>
  <c r="F11" i="45"/>
  <c r="F13" i="45"/>
  <c r="B8" i="45"/>
  <c r="F12" i="45"/>
  <c r="M11" i="45" l="1"/>
  <c r="N11" i="45" s="1"/>
  <c r="D13" i="35"/>
  <c r="M9" i="45"/>
  <c r="N9" i="45" s="1"/>
  <c r="M12" i="45"/>
  <c r="N12" i="45" s="1"/>
  <c r="M7" i="45"/>
  <c r="P7" i="45" s="1"/>
  <c r="M8" i="45"/>
  <c r="P8" i="45" s="1"/>
  <c r="M10" i="45"/>
  <c r="N10" i="45" s="1"/>
  <c r="N15" i="47"/>
  <c r="N8" i="45" l="1"/>
  <c r="N7" i="45"/>
  <c r="D42" i="39"/>
  <c r="C42" i="39"/>
  <c r="B42" i="39"/>
  <c r="D41" i="39"/>
  <c r="C41" i="39"/>
  <c r="B41" i="39"/>
  <c r="E41" i="39" s="1"/>
  <c r="D40" i="39"/>
  <c r="B40" i="39"/>
  <c r="D39" i="39"/>
  <c r="C39" i="39"/>
  <c r="B39" i="39"/>
  <c r="D38" i="39"/>
  <c r="E38" i="39" s="1"/>
  <c r="C37" i="39"/>
  <c r="B37" i="39"/>
  <c r="E32" i="39"/>
  <c r="E31" i="39"/>
  <c r="E30" i="39"/>
  <c r="E29" i="39"/>
  <c r="E22" i="39"/>
  <c r="E21" i="39"/>
  <c r="E20" i="39"/>
  <c r="E19" i="39"/>
  <c r="N13" i="45" l="1"/>
  <c r="E39" i="39"/>
  <c r="E40" i="39"/>
  <c r="D37" i="39"/>
  <c r="D27" i="39" s="1"/>
  <c r="M29" i="45"/>
  <c r="N29" i="45" s="1"/>
  <c r="N40" i="45"/>
  <c r="N41" i="45"/>
  <c r="M31" i="45"/>
  <c r="N31" i="45" s="1"/>
  <c r="M30" i="45"/>
  <c r="N30" i="45" s="1"/>
  <c r="M32" i="45"/>
  <c r="N32" i="45" s="1"/>
  <c r="N39" i="45"/>
  <c r="M20" i="45"/>
  <c r="N20" i="45" s="1"/>
  <c r="M21" i="45"/>
  <c r="N21" i="45" s="1"/>
  <c r="M22" i="45"/>
  <c r="N22" i="45" s="1"/>
  <c r="M19" i="45"/>
  <c r="N19" i="45" s="1"/>
  <c r="E42" i="39"/>
  <c r="P38" i="45" l="1"/>
  <c r="N38" i="45"/>
  <c r="D28" i="39"/>
  <c r="E37" i="39"/>
  <c r="H38" i="39" s="1"/>
  <c r="P37" i="45"/>
  <c r="N42" i="45"/>
  <c r="N37" i="45" l="1"/>
  <c r="N43" i="45" s="1"/>
  <c r="F43" i="39"/>
  <c r="H37" i="39"/>
  <c r="E27" i="39" s="1"/>
  <c r="M27" i="45"/>
  <c r="P27" i="45" l="1"/>
  <c r="N27" i="45"/>
  <c r="H27" i="39"/>
  <c r="E17" i="39" s="1"/>
  <c r="E18" i="39" s="1"/>
  <c r="E28" i="39"/>
  <c r="H28" i="39" s="1"/>
  <c r="M28" i="45"/>
  <c r="P28" i="45" s="1"/>
  <c r="M17" i="45"/>
  <c r="N28" i="45" l="1"/>
  <c r="N33" i="45" s="1"/>
  <c r="P17" i="45"/>
  <c r="N17" i="45"/>
  <c r="F33" i="39"/>
  <c r="H17" i="39"/>
  <c r="M18" i="45"/>
  <c r="P18" i="45" s="1"/>
  <c r="H18" i="39"/>
  <c r="F8" i="39" l="1"/>
  <c r="F7" i="39"/>
  <c r="N18" i="45"/>
  <c r="N23" i="45" s="1"/>
  <c r="C11" i="34"/>
  <c r="F21" i="39" s="1"/>
  <c r="C8" i="34"/>
  <c r="F18" i="39" s="1"/>
  <c r="C9" i="34"/>
  <c r="F19" i="39" s="1"/>
  <c r="C10" i="34"/>
  <c r="F20" i="39" s="1"/>
  <c r="C12" i="34"/>
  <c r="F22" i="39" s="1"/>
  <c r="C7" i="34"/>
  <c r="F17" i="39" s="1"/>
  <c r="F13" i="39" l="1"/>
  <c r="F23" i="3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Ahrens Nielsen</author>
  </authors>
  <commentList>
    <comment ref="B18" authorId="0" shapeId="0" xr:uid="{5C1ACBFA-AAEF-4B7F-83A9-52AEACACA947}">
      <text>
        <r>
          <rPr>
            <sz val="9"/>
            <color indexed="81"/>
            <rFont val="Tahoma"/>
            <family val="2"/>
          </rPr>
          <t>Oplyst af fejer</t>
        </r>
      </text>
    </comment>
    <comment ref="C18" authorId="0" shapeId="0" xr:uid="{83B1BF03-2C36-4ECC-BD59-0467DD097174}">
      <text>
        <r>
          <rPr>
            <sz val="9"/>
            <color indexed="81"/>
            <rFont val="Tahoma"/>
            <family val="2"/>
          </rPr>
          <t>Oplyst af fejer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Line Biehl Sørensen</author>
  </authors>
  <commentList>
    <comment ref="Q109" authorId="0" shapeId="0" xr:uid="{1A624B98-3D8A-46DC-B509-9B52B49847A3}">
      <text>
        <r>
          <rPr>
            <b/>
            <sz val="9"/>
            <color indexed="81"/>
            <rFont val="Tahoma"/>
            <family val="2"/>
          </rPr>
          <t>Line Biehl Sørensen:</t>
        </r>
        <r>
          <rPr>
            <sz val="9"/>
            <color indexed="81"/>
            <rFont val="Tahoma"/>
            <family val="2"/>
          </rPr>
          <t xml:space="preserve">
Delmængde af centralvarme med olie (Celle D127-D138)</t>
        </r>
      </text>
    </comment>
  </commentList>
</comments>
</file>

<file path=xl/sharedStrings.xml><?xml version="1.0" encoding="utf-8"?>
<sst xmlns="http://schemas.openxmlformats.org/spreadsheetml/2006/main" count="1044" uniqueCount="136">
  <si>
    <t>Halmfyr</t>
  </si>
  <si>
    <t>Oliefyr</t>
  </si>
  <si>
    <t>Fast brændsel</t>
  </si>
  <si>
    <t>Pillefyr/Stokerfyr</t>
  </si>
  <si>
    <t>Fastbrændsel</t>
  </si>
  <si>
    <t>Brændeovne helårsboliger</t>
  </si>
  <si>
    <t>Halmfyr   </t>
  </si>
  <si>
    <t>Brændeovne, sommerhuse</t>
  </si>
  <si>
    <t>I alt</t>
  </si>
  <si>
    <t>Brændeovne, helårsbolig   </t>
  </si>
  <si>
    <t>Brændeovne sommerhuse:     </t>
  </si>
  <si>
    <t>GJ</t>
  </si>
  <si>
    <t>TJ</t>
  </si>
  <si>
    <t>Træ i alt</t>
  </si>
  <si>
    <t>Enhedtype</t>
  </si>
  <si>
    <t>Estimeret forbrug pr. enhed</t>
  </si>
  <si>
    <t>Carøe Aarestrup Skor.</t>
  </si>
  <si>
    <t>Jammerbugt</t>
  </si>
  <si>
    <t>Jesper Jul Jensen</t>
  </si>
  <si>
    <t>Brønderslev</t>
  </si>
  <si>
    <t>Leif Kristian Pedersen</t>
  </si>
  <si>
    <t>Morten Holst Sørensen</t>
  </si>
  <si>
    <t>Frederikshavn</t>
  </si>
  <si>
    <t>Flemming E. Nielsen</t>
  </si>
  <si>
    <t>Orla Steen Hansen</t>
  </si>
  <si>
    <t>Walther Hansen</t>
  </si>
  <si>
    <t>Hjørring</t>
  </si>
  <si>
    <t>Lars Christensen</t>
  </si>
  <si>
    <t>Læsø</t>
  </si>
  <si>
    <t>Lars Li Nielsen</t>
  </si>
  <si>
    <t>Morsø</t>
  </si>
  <si>
    <t>Kim Harregaard Jensen</t>
  </si>
  <si>
    <t>Haagen Blaaberg Sørensen</t>
  </si>
  <si>
    <t>Jens Christian Sø</t>
  </si>
  <si>
    <t>Rebild</t>
  </si>
  <si>
    <t>Kai Møller Hansen</t>
  </si>
  <si>
    <t>Skorstensfejerfirmaet Sunds</t>
  </si>
  <si>
    <t>Thisted</t>
  </si>
  <si>
    <t>Henrik Langvang</t>
  </si>
  <si>
    <t>Jannick V. Jensen</t>
  </si>
  <si>
    <t>Hans Gade</t>
  </si>
  <si>
    <t>Bøggild Thing</t>
  </si>
  <si>
    <t>Vesthimmerlands</t>
  </si>
  <si>
    <t>Jesper Nørgaard</t>
  </si>
  <si>
    <t>Helge Christiansen</t>
  </si>
  <si>
    <t>Aalborg</t>
  </si>
  <si>
    <t>Ricki Brønnum</t>
  </si>
  <si>
    <t>Jens Hellmers</t>
  </si>
  <si>
    <t>Allan Baunedal Nielsen</t>
  </si>
  <si>
    <t>Allan Alberg Østergaard</t>
  </si>
  <si>
    <t>Kilde: Brændeforbrug i Danmark 2015, Energistyrelsen &amp; EA Energianalyse 2015</t>
  </si>
  <si>
    <t>Mariagerfjord</t>
  </si>
  <si>
    <t>Søren Andersen</t>
  </si>
  <si>
    <t>Brian Dam Johansson</t>
  </si>
  <si>
    <t>Jørgen Jepsen Simonsen</t>
  </si>
  <si>
    <t>Region Nordjylland</t>
  </si>
  <si>
    <t>810 Brønderslev</t>
  </si>
  <si>
    <t>813 Frederikshavn</t>
  </si>
  <si>
    <t>860 Hjørring</t>
  </si>
  <si>
    <t>849 Jammerbugt</t>
  </si>
  <si>
    <t>825 Læsø</t>
  </si>
  <si>
    <t>846 Mariagerfjord</t>
  </si>
  <si>
    <t>773 Morsø</t>
  </si>
  <si>
    <t>840 Rebild</t>
  </si>
  <si>
    <t>787 Thisted</t>
  </si>
  <si>
    <t>820 Vesthimmerlands</t>
  </si>
  <si>
    <t>851 Aalborg</t>
  </si>
  <si>
    <t>Bilag 14 - Skorstensfejerdata Region Nordjylland</t>
  </si>
  <si>
    <t>Skorstensfejeren Brønderslev</t>
  </si>
  <si>
    <t>Data må kun offentliggøres i aggregeret form og må ikke uden tilladelse fra den enkelte skorstensfejer benyttes til andre opgaver end udarbejdelsen af energiregnskaber for kommuner i Region Nordjylland.</t>
  </si>
  <si>
    <t>Totaler fra Lauget</t>
  </si>
  <si>
    <t>Rådata, optalt af PlanEnergi</t>
  </si>
  <si>
    <t>Oversigter med koder fra Lauget, optalt af PlanEnergi</t>
  </si>
  <si>
    <t>Totaler, oplyst af fejeren</t>
  </si>
  <si>
    <t>Signatur for kilder og deres kvalitet</t>
  </si>
  <si>
    <t>2012/13</t>
  </si>
  <si>
    <t>Ricki Brønnum*</t>
  </si>
  <si>
    <t>*Historisk fordeling sommerhus/helårsbolig forudsat</t>
  </si>
  <si>
    <t>Danny Damgaard Winther</t>
  </si>
  <si>
    <t>Bilag 7 - Skorstensfejerdata 2020</t>
  </si>
  <si>
    <t>Bilag 7 - Skorstensfejerdata Rebild Kommune 2020</t>
  </si>
  <si>
    <t>Bilag 7 - Skorstensfejerdata 2020 - Enhedsforbrug</t>
  </si>
  <si>
    <t>Intet oplyst, baseret på tidl. data og udvikling 2010-18.</t>
  </si>
  <si>
    <t>OBS Rikke T. Danmark og Per Sørensen har overtaget fra Christian Pedersen og Morten Deleuran</t>
  </si>
  <si>
    <t>1990-BOL1</t>
  </si>
  <si>
    <t>Beboede boliger</t>
  </si>
  <si>
    <t>Fjernvarme</t>
  </si>
  <si>
    <t>Centralvarme med olie</t>
  </si>
  <si>
    <t>Centralvarme m naturgas</t>
  </si>
  <si>
    <t>Centralvarme, ikke olie og naturgas</t>
  </si>
  <si>
    <t>Varmepumpe</t>
  </si>
  <si>
    <t>Elvarme</t>
  </si>
  <si>
    <t>Øvrige ovne</t>
  </si>
  <si>
    <t>Uoplyst</t>
  </si>
  <si>
    <t>Total</t>
  </si>
  <si>
    <t>Hele landet</t>
  </si>
  <si>
    <t>2010-BOL101</t>
  </si>
  <si>
    <t>Udvikling boligmasse 1990-2010</t>
  </si>
  <si>
    <t xml:space="preserve">Nettovarmebehov pr. bolig i perioden </t>
  </si>
  <si>
    <t>GJ/bolig/år, svarende til</t>
  </si>
  <si>
    <t>MWh/år</t>
  </si>
  <si>
    <t>Ændret nettovarmebehov (GJ) 1990-2010</t>
  </si>
  <si>
    <t>Slutforbrug/nettovarmebehov efter opvarmningsform (TJ), 2010-energiregnskab</t>
  </si>
  <si>
    <t>Slutforbrug af varme fordelt på varmekilde</t>
  </si>
  <si>
    <t>TJ/år</t>
  </si>
  <si>
    <t>Naturgasfyr</t>
  </si>
  <si>
    <t>Træpille- og stokerfyr</t>
  </si>
  <si>
    <t>Brændekedel og -ovn</t>
  </si>
  <si>
    <t>Individuelle varmepumper</t>
  </si>
  <si>
    <t>Individuel solvarme</t>
  </si>
  <si>
    <t>Nettovarmebehov 1990 (kun totaler bruges)</t>
  </si>
  <si>
    <t>Indekseret udvikling af det specifikke endelige energiforbrug til opvarmning i boliger 1990-2010 jf. graf i Energistatistik 2018:</t>
  </si>
  <si>
    <t>Indekseret udvikling af det klimakorrigerede brændselsforbrug 1990-2010 (2010=100), jf. Energistatistik 2018</t>
  </si>
  <si>
    <t>Træpilleforbrug</t>
  </si>
  <si>
    <t>Brændeforbrug</t>
  </si>
  <si>
    <t>Halmforbrug</t>
  </si>
  <si>
    <t>Bilag 1</t>
  </si>
  <si>
    <t>Træpillefyr</t>
  </si>
  <si>
    <t>Halmkedel</t>
  </si>
  <si>
    <t>Øvrige ovne (solvarme)</t>
  </si>
  <si>
    <t>Bruttoenergiforbrug varme, 1990</t>
  </si>
  <si>
    <t>Fjernvarme ab værk</t>
  </si>
  <si>
    <t>Oliefyr individuel</t>
  </si>
  <si>
    <t>Elforbrug</t>
  </si>
  <si>
    <t>Naturgas</t>
  </si>
  <si>
    <t>Solvarme</t>
  </si>
  <si>
    <t>Varmevirkningsgrad</t>
  </si>
  <si>
    <t>Bruttoenergiforbrug til indtastning 1990 (TJ)</t>
  </si>
  <si>
    <t>Jf. Bilag 1</t>
  </si>
  <si>
    <t>Jf. Bilag 9</t>
  </si>
  <si>
    <t>Jf. Bilag 4</t>
  </si>
  <si>
    <t>Jf. Bilag 6</t>
  </si>
  <si>
    <t>Bilag 4</t>
  </si>
  <si>
    <t>Bilag 9</t>
  </si>
  <si>
    <t>Bilag 6</t>
  </si>
  <si>
    <t>Bilag 7 - Individuel opvarmning og opskrivning olieforbrug 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</si>
</sst>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_);_(* \(#,##0\);_(* &quot;-&quot;??_);_(@_)"/>
    <numFmt numFmtId="166" formatCode="_ * #,##0_ ;_ * \-#,##0_ ;_ * &quot;-&quot;??_ ;_ @_ "/>
    <numFmt numFmtId="167" formatCode="0.0"/>
    <numFmt numFmtId="168" formatCode="#,##0.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2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rgb="FFFF000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i/>
      <sz val="7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b/>
      <sz val="9"/>
      <color indexed="81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" fillId="0" borderId="0" applyFont="0" applyFill="0" applyBorder="0" applyAlignment="0" applyProtection="0"/>
    <xf numFmtId="0" fontId="2" fillId="0" borderId="0"/>
    <xf numFmtId="9" fontId="8" fillId="0" borderId="0" applyFon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8" borderId="5" applyNumberFormat="0" applyAlignment="0" applyProtection="0"/>
    <xf numFmtId="0" fontId="17" fillId="9" borderId="6" applyNumberFormat="0" applyAlignment="0" applyProtection="0"/>
    <xf numFmtId="0" fontId="18" fillId="9" borderId="5" applyNumberFormat="0" applyAlignment="0" applyProtection="0"/>
    <xf numFmtId="0" fontId="19" fillId="0" borderId="7" applyNumberFormat="0" applyFill="0" applyAlignment="0" applyProtection="0"/>
    <xf numFmtId="0" fontId="20" fillId="1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1" fillId="11" borderId="9" applyNumberFormat="0" applyFont="0" applyAlignment="0" applyProtection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5" borderId="0" applyNumberFormat="0" applyBorder="0" applyAlignment="0" applyProtection="0"/>
    <xf numFmtId="164" fontId="1" fillId="0" borderId="0" applyFont="0" applyFill="0" applyBorder="0" applyAlignment="0" applyProtection="0"/>
    <xf numFmtId="0" fontId="31" fillId="0" borderId="0" applyNumberFormat="0" applyBorder="0" applyAlignment="0"/>
    <xf numFmtId="0" fontId="2" fillId="0" borderId="0"/>
    <xf numFmtId="9" fontId="2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3" fillId="0" borderId="1" xfId="0" applyFont="1" applyBorder="1"/>
    <xf numFmtId="2" fontId="2" fillId="0" borderId="1" xfId="0" applyNumberFormat="1" applyFont="1" applyBorder="1"/>
    <xf numFmtId="0" fontId="6" fillId="2" borderId="0" xfId="0" applyFont="1" applyFill="1"/>
    <xf numFmtId="0" fontId="0" fillId="2" borderId="0" xfId="0" applyFill="1"/>
    <xf numFmtId="0" fontId="3" fillId="3" borderId="1" xfId="0" applyFont="1" applyFill="1" applyBorder="1"/>
    <xf numFmtId="1" fontId="2" fillId="3" borderId="1" xfId="0" applyNumberFormat="1" applyFont="1" applyFill="1" applyBorder="1"/>
    <xf numFmtId="165" fontId="2" fillId="3" borderId="1" xfId="0" applyNumberFormat="1" applyFont="1" applyFill="1" applyBorder="1"/>
    <xf numFmtId="0" fontId="0" fillId="4" borderId="0" xfId="0" applyFill="1"/>
    <xf numFmtId="0" fontId="2" fillId="4" borderId="0" xfId="0" applyFont="1" applyFill="1"/>
    <xf numFmtId="3" fontId="0" fillId="4" borderId="0" xfId="0" applyNumberFormat="1" applyFill="1"/>
    <xf numFmtId="0" fontId="2" fillId="4" borderId="1" xfId="0" applyFont="1" applyFill="1" applyBorder="1"/>
    <xf numFmtId="0" fontId="3" fillId="4" borderId="1" xfId="0" applyFont="1" applyFill="1" applyBorder="1"/>
    <xf numFmtId="1" fontId="2" fillId="4" borderId="1" xfId="0" applyNumberFormat="1" applyFont="1" applyFill="1" applyBorder="1"/>
    <xf numFmtId="166" fontId="2" fillId="4" borderId="0" xfId="22" applyNumberFormat="1" applyFont="1" applyFill="1"/>
    <xf numFmtId="166" fontId="2" fillId="4" borderId="1" xfId="22" applyNumberFormat="1" applyFont="1" applyFill="1" applyBorder="1"/>
    <xf numFmtId="166" fontId="2" fillId="4" borderId="1" xfId="22" applyNumberFormat="1" applyFont="1" applyFill="1" applyBorder="1" applyAlignment="1">
      <alignment horizontal="right"/>
    </xf>
    <xf numFmtId="166" fontId="0" fillId="4" borderId="0" xfId="22" applyNumberFormat="1" applyFont="1" applyFill="1"/>
    <xf numFmtId="0" fontId="2" fillId="4" borderId="0" xfId="23" applyFill="1"/>
    <xf numFmtId="3" fontId="2" fillId="4" borderId="0" xfId="23" applyNumberFormat="1" applyFill="1"/>
    <xf numFmtId="0" fontId="3" fillId="4" borderId="1" xfId="23" applyFont="1" applyFill="1" applyBorder="1"/>
    <xf numFmtId="166" fontId="2" fillId="3" borderId="1" xfId="22" applyNumberFormat="1" applyFont="1" applyFill="1" applyBorder="1"/>
    <xf numFmtId="166" fontId="3" fillId="4" borderId="1" xfId="22" applyNumberFormat="1" applyFont="1" applyFill="1" applyBorder="1"/>
    <xf numFmtId="166" fontId="3" fillId="3" borderId="1" xfId="22" applyNumberFormat="1" applyFont="1" applyFill="1" applyBorder="1"/>
    <xf numFmtId="0" fontId="3" fillId="0" borderId="1" xfId="23" applyFont="1" applyBorder="1"/>
    <xf numFmtId="166" fontId="2" fillId="0" borderId="1" xfId="22" applyNumberFormat="1" applyFont="1" applyBorder="1" applyAlignment="1">
      <alignment horizontal="right"/>
    </xf>
    <xf numFmtId="166" fontId="2" fillId="0" borderId="0" xfId="22" applyNumberFormat="1" applyFont="1"/>
    <xf numFmtId="166" fontId="3" fillId="0" borderId="1" xfId="22" applyNumberFormat="1" applyFont="1" applyBorder="1"/>
    <xf numFmtId="166" fontId="2" fillId="0" borderId="0" xfId="22" applyNumberFormat="1" applyFont="1" applyFill="1"/>
    <xf numFmtId="166" fontId="2" fillId="0" borderId="0" xfId="22" applyNumberFormat="1" applyFont="1" applyFill="1" applyBorder="1"/>
    <xf numFmtId="166" fontId="3" fillId="0" borderId="1" xfId="22" applyNumberFormat="1" applyFont="1" applyFill="1" applyBorder="1"/>
    <xf numFmtId="0" fontId="9" fillId="4" borderId="0" xfId="0" applyFont="1" applyFill="1"/>
    <xf numFmtId="167" fontId="2" fillId="0" borderId="1" xfId="0" applyNumberFormat="1" applyFont="1" applyFill="1" applyBorder="1"/>
    <xf numFmtId="167" fontId="2" fillId="4" borderId="1" xfId="0" applyNumberFormat="1" applyFont="1" applyFill="1" applyBorder="1"/>
    <xf numFmtId="166" fontId="2" fillId="0" borderId="1" xfId="22" applyNumberFormat="1" applyFont="1" applyBorder="1"/>
    <xf numFmtId="166" fontId="0" fillId="0" borderId="0" xfId="22" applyNumberFormat="1" applyFont="1"/>
    <xf numFmtId="0" fontId="2" fillId="0" borderId="0" xfId="23"/>
    <xf numFmtId="0" fontId="6" fillId="2" borderId="0" xfId="23" applyFont="1" applyFill="1"/>
    <xf numFmtId="0" fontId="2" fillId="2" borderId="0" xfId="23" applyFill="1"/>
    <xf numFmtId="0" fontId="3" fillId="3" borderId="1" xfId="23" applyFont="1" applyFill="1" applyBorder="1"/>
    <xf numFmtId="9" fontId="0" fillId="0" borderId="0" xfId="24" applyFont="1"/>
    <xf numFmtId="166" fontId="2" fillId="4" borderId="0" xfId="23" applyNumberFormat="1" applyFill="1"/>
    <xf numFmtId="0" fontId="2" fillId="0" borderId="0" xfId="0" applyFont="1" applyFill="1"/>
    <xf numFmtId="0" fontId="2" fillId="0" borderId="0" xfId="0" applyFont="1"/>
    <xf numFmtId="0" fontId="2" fillId="0" borderId="0" xfId="0" applyFont="1" applyFill="1" applyBorder="1"/>
    <xf numFmtId="0" fontId="2" fillId="0" borderId="1" xfId="0" applyFont="1" applyBorder="1"/>
    <xf numFmtId="0" fontId="3" fillId="0" borderId="1" xfId="0" applyFont="1" applyFill="1" applyBorder="1"/>
    <xf numFmtId="0" fontId="2" fillId="0" borderId="1" xfId="0" applyFont="1" applyFill="1" applyBorder="1"/>
    <xf numFmtId="166" fontId="0" fillId="0" borderId="1" xfId="22" applyNumberFormat="1" applyFont="1" applyBorder="1"/>
    <xf numFmtId="0" fontId="10" fillId="4" borderId="0" xfId="23" applyFont="1" applyFill="1"/>
    <xf numFmtId="0" fontId="28" fillId="4" borderId="0" xfId="23" applyFont="1" applyFill="1"/>
    <xf numFmtId="166" fontId="27" fillId="0" borderId="1" xfId="22" applyNumberFormat="1" applyFont="1" applyBorder="1"/>
    <xf numFmtId="0" fontId="3" fillId="36" borderId="1" xfId="23" applyFont="1" applyFill="1" applyBorder="1"/>
    <xf numFmtId="0" fontId="3" fillId="36" borderId="1" xfId="0" applyFont="1" applyFill="1" applyBorder="1"/>
    <xf numFmtId="0" fontId="3" fillId="38" borderId="1" xfId="0" applyFont="1" applyFill="1" applyBorder="1" applyAlignment="1">
      <alignment wrapText="1"/>
    </xf>
    <xf numFmtId="0" fontId="3" fillId="37" borderId="1" xfId="0" applyFont="1" applyFill="1" applyBorder="1"/>
    <xf numFmtId="0" fontId="3" fillId="39" borderId="1" xfId="0" applyFont="1" applyFill="1" applyBorder="1" applyAlignment="1">
      <alignment wrapText="1"/>
    </xf>
    <xf numFmtId="0" fontId="2" fillId="36" borderId="1" xfId="0" applyFont="1" applyFill="1" applyBorder="1"/>
    <xf numFmtId="0" fontId="2" fillId="38" borderId="1" xfId="0" applyFont="1" applyFill="1" applyBorder="1" applyAlignment="1">
      <alignment wrapText="1"/>
    </xf>
    <xf numFmtId="0" fontId="2" fillId="37" borderId="1" xfId="0" applyFont="1" applyFill="1" applyBorder="1"/>
    <xf numFmtId="0" fontId="2" fillId="39" borderId="1" xfId="0" applyFont="1" applyFill="1" applyBorder="1" applyAlignment="1">
      <alignment wrapText="1"/>
    </xf>
    <xf numFmtId="166" fontId="27" fillId="4" borderId="0" xfId="22" applyNumberFormat="1" applyFont="1" applyFill="1"/>
    <xf numFmtId="166" fontId="27" fillId="4" borderId="1" xfId="22" applyNumberFormat="1" applyFont="1" applyFill="1" applyBorder="1" applyAlignment="1">
      <alignment horizontal="right"/>
    </xf>
    <xf numFmtId="0" fontId="2" fillId="4" borderId="1" xfId="23" applyFill="1" applyBorder="1"/>
    <xf numFmtId="1" fontId="2" fillId="4" borderId="1" xfId="23" applyNumberFormat="1" applyFill="1" applyBorder="1"/>
    <xf numFmtId="1" fontId="2" fillId="3" borderId="1" xfId="23" applyNumberFormat="1" applyFill="1" applyBorder="1"/>
    <xf numFmtId="165" fontId="2" fillId="3" borderId="1" xfId="23" applyNumberFormat="1" applyFill="1" applyBorder="1"/>
    <xf numFmtId="0" fontId="3" fillId="4" borderId="1" xfId="0" applyFont="1" applyFill="1" applyBorder="1" applyAlignment="1">
      <alignment wrapText="1"/>
    </xf>
    <xf numFmtId="0" fontId="3" fillId="4" borderId="0" xfId="23" applyFont="1" applyFill="1"/>
    <xf numFmtId="0" fontId="2" fillId="0" borderId="1" xfId="23" applyBorder="1"/>
    <xf numFmtId="1" fontId="2" fillId="0" borderId="1" xfId="23" applyNumberFormat="1" applyBorder="1"/>
    <xf numFmtId="0" fontId="2" fillId="0" borderId="1" xfId="23" applyBorder="1" applyAlignment="1">
      <alignment horizontal="right"/>
    </xf>
    <xf numFmtId="166" fontId="7" fillId="0" borderId="1" xfId="22" applyNumberFormat="1" applyBorder="1" applyAlignment="1">
      <alignment horizontal="right"/>
    </xf>
    <xf numFmtId="166" fontId="7" fillId="4" borderId="1" xfId="22" applyNumberFormat="1" applyFill="1" applyBorder="1"/>
    <xf numFmtId="166" fontId="7" fillId="0" borderId="1" xfId="22" applyNumberFormat="1" applyBorder="1"/>
    <xf numFmtId="1" fontId="2" fillId="0" borderId="1" xfId="0" applyNumberFormat="1" applyFont="1" applyFill="1" applyBorder="1"/>
    <xf numFmtId="165" fontId="2" fillId="0" borderId="1" xfId="0" applyNumberFormat="1" applyFont="1" applyFill="1" applyBorder="1"/>
    <xf numFmtId="0" fontId="3" fillId="0" borderId="1" xfId="23" applyFont="1" applyFill="1" applyBorder="1"/>
    <xf numFmtId="0" fontId="0" fillId="0" borderId="0" xfId="0" applyFill="1"/>
    <xf numFmtId="0" fontId="2" fillId="0" borderId="0" xfId="23" applyFill="1"/>
    <xf numFmtId="166" fontId="2" fillId="0" borderId="1" xfId="23" applyNumberFormat="1" applyBorder="1"/>
    <xf numFmtId="0" fontId="30" fillId="0" borderId="0" xfId="0" applyFont="1"/>
    <xf numFmtId="166" fontId="2" fillId="3" borderId="1" xfId="23" applyNumberFormat="1" applyFill="1" applyBorder="1"/>
    <xf numFmtId="166" fontId="0" fillId="0" borderId="0" xfId="0" applyNumberFormat="1"/>
    <xf numFmtId="166" fontId="3" fillId="4" borderId="1" xfId="23" applyNumberFormat="1" applyFont="1" applyFill="1" applyBorder="1"/>
    <xf numFmtId="1" fontId="2" fillId="0" borderId="1" xfId="22" applyNumberFormat="1" applyFont="1" applyBorder="1" applyAlignment="1">
      <alignment horizontal="right"/>
    </xf>
    <xf numFmtId="1" fontId="3" fillId="0" borderId="1" xfId="22" applyNumberFormat="1" applyFont="1" applyBorder="1"/>
    <xf numFmtId="1" fontId="0" fillId="0" borderId="0" xfId="0" applyNumberFormat="1"/>
    <xf numFmtId="1" fontId="0" fillId="4" borderId="0" xfId="0" applyNumberFormat="1" applyFill="1"/>
    <xf numFmtId="1" fontId="3" fillId="4" borderId="1" xfId="23" applyNumberFormat="1" applyFont="1" applyFill="1" applyBorder="1"/>
    <xf numFmtId="1" fontId="2" fillId="3" borderId="1" xfId="22" applyNumberFormat="1" applyFont="1" applyFill="1" applyBorder="1"/>
    <xf numFmtId="3" fontId="2" fillId="4" borderId="1" xfId="0" applyNumberFormat="1" applyFont="1" applyFill="1" applyBorder="1"/>
    <xf numFmtId="3" fontId="2" fillId="3" borderId="1" xfId="0" applyNumberFormat="1" applyFont="1" applyFill="1" applyBorder="1"/>
    <xf numFmtId="0" fontId="6" fillId="2" borderId="0" xfId="68" applyFont="1" applyFill="1"/>
    <xf numFmtId="0" fontId="31" fillId="2" borderId="0" xfId="68" applyFill="1"/>
    <xf numFmtId="0" fontId="31" fillId="0" borderId="0" xfId="68"/>
    <xf numFmtId="0" fontId="31" fillId="0" borderId="0" xfId="68" applyAlignment="1">
      <alignment wrapText="1"/>
    </xf>
    <xf numFmtId="0" fontId="31" fillId="0" borderId="1" xfId="68" applyBorder="1"/>
    <xf numFmtId="3" fontId="31" fillId="0" borderId="1" xfId="68" applyNumberFormat="1" applyBorder="1"/>
    <xf numFmtId="3" fontId="32" fillId="0" borderId="1" xfId="68" applyNumberFormat="1" applyFont="1" applyBorder="1"/>
    <xf numFmtId="0" fontId="23" fillId="40" borderId="1" xfId="68" applyFont="1" applyFill="1" applyBorder="1"/>
    <xf numFmtId="0" fontId="23" fillId="0" borderId="0" xfId="68" applyFont="1"/>
    <xf numFmtId="3" fontId="31" fillId="0" borderId="0" xfId="68" applyNumberFormat="1" applyBorder="1"/>
    <xf numFmtId="3" fontId="2" fillId="0" borderId="1" xfId="69" applyNumberFormat="1" applyBorder="1"/>
    <xf numFmtId="168" fontId="31" fillId="0" borderId="0" xfId="68" applyNumberFormat="1"/>
    <xf numFmtId="10" fontId="31" fillId="0" borderId="0" xfId="70" applyNumberFormat="1" applyFont="1"/>
    <xf numFmtId="2" fontId="31" fillId="0" borderId="1" xfId="68" applyNumberFormat="1" applyBorder="1"/>
    <xf numFmtId="167" fontId="31" fillId="0" borderId="1" xfId="68" applyNumberFormat="1" applyBorder="1"/>
    <xf numFmtId="3" fontId="33" fillId="0" borderId="0" xfId="68" applyNumberFormat="1" applyFont="1"/>
    <xf numFmtId="9" fontId="31" fillId="40" borderId="1" xfId="68" applyNumberFormat="1" applyFill="1" applyBorder="1"/>
    <xf numFmtId="3" fontId="34" fillId="0" borderId="11" xfId="68" applyNumberFormat="1" applyFont="1" applyBorder="1" applyAlignment="1">
      <alignment horizontal="center" vertical="center" textRotation="90"/>
    </xf>
    <xf numFmtId="3" fontId="34" fillId="0" borderId="12" xfId="68" applyNumberFormat="1" applyFont="1" applyBorder="1" applyAlignment="1">
      <alignment horizontal="center" vertical="center" textRotation="90"/>
    </xf>
    <xf numFmtId="3" fontId="31" fillId="3" borderId="1" xfId="68" applyNumberFormat="1" applyFill="1" applyBorder="1"/>
    <xf numFmtId="3" fontId="34" fillId="0" borderId="13" xfId="68" applyNumberFormat="1" applyFont="1" applyBorder="1" applyAlignment="1">
      <alignment horizontal="center" vertical="center" textRotation="90"/>
    </xf>
  </cellXfs>
  <cellStyles count="71">
    <cellStyle name="20 % - Farve1" xfId="40" builtinId="30" customBuiltin="1"/>
    <cellStyle name="20 % - Farve2" xfId="43" builtinId="34" customBuiltin="1"/>
    <cellStyle name="20 % - Farve3" xfId="46" builtinId="38" customBuiltin="1"/>
    <cellStyle name="20 % - Farve4" xfId="49" builtinId="42" customBuiltin="1"/>
    <cellStyle name="20 % - Farve5" xfId="52" builtinId="46" customBuiltin="1"/>
    <cellStyle name="20 % - Farve6" xfId="55" builtinId="50" customBuiltin="1"/>
    <cellStyle name="40 % - Farve1" xfId="41" builtinId="31" customBuiltin="1"/>
    <cellStyle name="40 % - Farve2" xfId="44" builtinId="35" customBuiltin="1"/>
    <cellStyle name="40 % - Farve3" xfId="47" builtinId="39" customBuiltin="1"/>
    <cellStyle name="40 % - Farve4" xfId="50" builtinId="43" customBuiltin="1"/>
    <cellStyle name="40 % - Farve5" xfId="53" builtinId="47" customBuiltin="1"/>
    <cellStyle name="40 % - Farve6" xfId="56" builtinId="51" customBuiltin="1"/>
    <cellStyle name="60 % - Farve1 2" xfId="61" xr:uid="{00000000-0005-0000-0000-000045000000}"/>
    <cellStyle name="60 % - Farve2 2" xfId="62" xr:uid="{00000000-0005-0000-0000-000046000000}"/>
    <cellStyle name="60 % - Farve3 2" xfId="63" xr:uid="{00000000-0005-0000-0000-000047000000}"/>
    <cellStyle name="60 % - Farve4 2" xfId="64" xr:uid="{00000000-0005-0000-0000-000048000000}"/>
    <cellStyle name="60 % - Farve5 2" xfId="65" xr:uid="{00000000-0005-0000-0000-000049000000}"/>
    <cellStyle name="60 % - Farve6 2" xfId="66" xr:uid="{00000000-0005-0000-0000-00004A000000}"/>
    <cellStyle name="Advarselstekst" xfId="36" builtinId="11" customBuiltin="1"/>
    <cellStyle name="Bemærk! 2" xfId="60" xr:uid="{00000000-0005-0000-0000-00004B000000}"/>
    <cellStyle name="Beregning" xfId="33" builtinId="22" customBuiltin="1"/>
    <cellStyle name="Farve1" xfId="39" builtinId="29" customBuiltin="1"/>
    <cellStyle name="Farve2" xfId="42" builtinId="33" customBuiltin="1"/>
    <cellStyle name="Farve3" xfId="45" builtinId="37" customBuiltin="1"/>
    <cellStyle name="Farve4" xfId="48" builtinId="41" customBuiltin="1"/>
    <cellStyle name="Farve5" xfId="51" builtinId="45" customBuiltin="1"/>
    <cellStyle name="Farve6" xfId="54" builtinId="49" customBuiltin="1"/>
    <cellStyle name="Forklarende tekst" xfId="37" builtinId="53" customBuiltin="1"/>
    <cellStyle name="God" xfId="29" builtinId="26" customBuiltin="1"/>
    <cellStyle name="Input" xfId="31" builtinId="20" customBuiltin="1"/>
    <cellStyle name="Komma" xfId="22" builtinId="3"/>
    <cellStyle name="Komma 2" xfId="67" xr:uid="{00000000-0005-0000-0000-00004C000000}"/>
    <cellStyle name="Kontrollér celle" xfId="35" builtinId="23" customBuiltin="1"/>
    <cellStyle name="Neutral 2" xfId="59" xr:uid="{00000000-0005-0000-0000-00004D000000}"/>
    <cellStyle name="Normal" xfId="0" builtinId="0"/>
    <cellStyle name="Normal 10" xfId="23" xr:uid="{00000000-0005-0000-0000-000044000000}"/>
    <cellStyle name="Normal 11" xfId="1" xr:uid="{00000000-0005-0000-0000-000001000000}"/>
    <cellStyle name="Normal 12" xfId="2" xr:uid="{00000000-0005-0000-0000-000002000000}"/>
    <cellStyle name="Normal 13" xfId="3" xr:uid="{00000000-0005-0000-0000-000003000000}"/>
    <cellStyle name="Normal 14" xfId="4" xr:uid="{00000000-0005-0000-0000-000004000000}"/>
    <cellStyle name="Normal 15" xfId="5" xr:uid="{00000000-0005-0000-0000-000005000000}"/>
    <cellStyle name="Normal 16" xfId="6" xr:uid="{00000000-0005-0000-0000-000006000000}"/>
    <cellStyle name="Normal 17" xfId="7" xr:uid="{00000000-0005-0000-0000-000007000000}"/>
    <cellStyle name="Normal 18" xfId="8" xr:uid="{00000000-0005-0000-0000-000008000000}"/>
    <cellStyle name="Normal 19" xfId="9" xr:uid="{00000000-0005-0000-0000-000009000000}"/>
    <cellStyle name="Normal 2" xfId="10" xr:uid="{00000000-0005-0000-0000-00000A000000}"/>
    <cellStyle name="Normal 2 2" xfId="69" xr:uid="{524730D0-AAC1-4AD2-8A1B-AA8C286D984F}"/>
    <cellStyle name="Normal 20" xfId="11" xr:uid="{00000000-0005-0000-0000-00000B000000}"/>
    <cellStyle name="Normal 21" xfId="12" xr:uid="{00000000-0005-0000-0000-00000C000000}"/>
    <cellStyle name="Normal 22" xfId="13" xr:uid="{00000000-0005-0000-0000-00000D000000}"/>
    <cellStyle name="Normal 23" xfId="14" xr:uid="{00000000-0005-0000-0000-00000E000000}"/>
    <cellStyle name="Normal 24" xfId="57" xr:uid="{00000000-0005-0000-0000-00004E000000}"/>
    <cellStyle name="Normal 25" xfId="68" xr:uid="{60201513-B9EA-40EE-BAFD-BB67F3959A87}"/>
    <cellStyle name="Normal 3" xfId="15" xr:uid="{00000000-0005-0000-0000-00000F000000}"/>
    <cellStyle name="Normal 4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19" xr:uid="{00000000-0005-0000-0000-000013000000}"/>
    <cellStyle name="Normal 8" xfId="20" xr:uid="{00000000-0005-0000-0000-000014000000}"/>
    <cellStyle name="Normal 9" xfId="21" xr:uid="{00000000-0005-0000-0000-000015000000}"/>
    <cellStyle name="Output" xfId="32" builtinId="21" customBuiltin="1"/>
    <cellStyle name="Overskrift 1" xfId="25" builtinId="16" customBuiltin="1"/>
    <cellStyle name="Overskrift 2" xfId="26" builtinId="17" customBuiltin="1"/>
    <cellStyle name="Overskrift 3" xfId="27" builtinId="18" customBuiltin="1"/>
    <cellStyle name="Overskrift 4" xfId="28" builtinId="19" customBuiltin="1"/>
    <cellStyle name="Procent" xfId="24" builtinId="5"/>
    <cellStyle name="Procent 2" xfId="70" xr:uid="{E20348F7-9286-4D31-871C-58C6134FBCFC}"/>
    <cellStyle name="Sammenkædet celle" xfId="34" builtinId="24" customBuiltin="1"/>
    <cellStyle name="Titel 2" xfId="58" xr:uid="{00000000-0005-0000-0000-00004F000000}"/>
    <cellStyle name="Total" xfId="38" builtinId="25" customBuiltin="1"/>
    <cellStyle name="Ugyldig" xfId="30" builtinId="27" customBuiltin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6D6BD-1942-4A20-9E85-764B358EF732}">
  <dimension ref="A1:H51"/>
  <sheetViews>
    <sheetView showGridLines="0" tabSelected="1" workbookViewId="0">
      <selection activeCell="M21" sqref="M21"/>
    </sheetView>
  </sheetViews>
  <sheetFormatPr defaultRowHeight="12.75" x14ac:dyDescent="0.2"/>
  <cols>
    <col min="1" max="1" width="25.7109375" customWidth="1"/>
    <col min="2" max="2" width="28.140625" bestFit="1" customWidth="1"/>
    <col min="3" max="4" width="13.140625" customWidth="1"/>
    <col min="5" max="5" width="8.85546875" customWidth="1"/>
  </cols>
  <sheetData>
    <row r="1" spans="1:8" s="38" customFormat="1" ht="26.25" x14ac:dyDescent="0.4">
      <c r="A1" s="38" t="s">
        <v>79</v>
      </c>
    </row>
    <row r="2" spans="1:8" x14ac:dyDescent="0.2">
      <c r="A2" s="19"/>
      <c r="B2" s="19"/>
      <c r="C2" s="19"/>
      <c r="D2" s="19"/>
      <c r="E2" s="19"/>
    </row>
    <row r="3" spans="1:8" ht="15" x14ac:dyDescent="0.25">
      <c r="A3" s="50" t="s">
        <v>69</v>
      </c>
      <c r="B3" s="19"/>
      <c r="C3" s="50"/>
      <c r="D3" s="50"/>
      <c r="E3" s="19"/>
    </row>
    <row r="4" spans="1:8" x14ac:dyDescent="0.2">
      <c r="B4" s="19"/>
      <c r="E4" s="19"/>
    </row>
    <row r="5" spans="1:8" x14ac:dyDescent="0.2">
      <c r="A5" s="19" t="s">
        <v>19</v>
      </c>
      <c r="B5" s="19"/>
      <c r="C5" s="19"/>
      <c r="D5" s="19"/>
      <c r="E5" s="19"/>
      <c r="H5" s="79"/>
    </row>
    <row r="6" spans="1:8" x14ac:dyDescent="0.2">
      <c r="A6" s="64">
        <v>2020</v>
      </c>
      <c r="B6" s="57" t="s">
        <v>68</v>
      </c>
      <c r="C6" s="21" t="s">
        <v>8</v>
      </c>
      <c r="D6" s="40" t="s">
        <v>12</v>
      </c>
    </row>
    <row r="7" spans="1:8" x14ac:dyDescent="0.2">
      <c r="A7" s="64" t="s">
        <v>9</v>
      </c>
      <c r="B7" s="16">
        <v>2718</v>
      </c>
      <c r="C7" s="16">
        <f>B7*G37</f>
        <v>2273.3523298692594</v>
      </c>
      <c r="D7" s="65">
        <f>C7*Enhedsforbrug!C7</f>
        <v>59.78916627556152</v>
      </c>
      <c r="F7" s="41"/>
    </row>
    <row r="8" spans="1:8" x14ac:dyDescent="0.2">
      <c r="A8" s="64" t="s">
        <v>7</v>
      </c>
      <c r="B8" s="16">
        <v>0</v>
      </c>
      <c r="C8" s="16">
        <f>B7*G38</f>
        <v>444.64767013074089</v>
      </c>
      <c r="D8" s="65">
        <f>C8*Enhedsforbrug!C8</f>
        <v>7.4256160911833726</v>
      </c>
      <c r="F8" s="41"/>
    </row>
    <row r="9" spans="1:8" x14ac:dyDescent="0.2">
      <c r="A9" s="64" t="s">
        <v>2</v>
      </c>
      <c r="B9" s="16">
        <v>529</v>
      </c>
      <c r="C9" s="16">
        <f>B9</f>
        <v>529</v>
      </c>
      <c r="D9" s="65">
        <f>C9*Enhedsforbrug!C9</f>
        <v>69.034500000000008</v>
      </c>
    </row>
    <row r="10" spans="1:8" x14ac:dyDescent="0.2">
      <c r="A10" s="64" t="s">
        <v>6</v>
      </c>
      <c r="B10" s="16">
        <v>196</v>
      </c>
      <c r="C10" s="16">
        <f>B10</f>
        <v>196</v>
      </c>
      <c r="D10" s="83">
        <f>C10*Enhedsforbrug!C10</f>
        <v>119.0896</v>
      </c>
      <c r="E10" s="84"/>
      <c r="F10" s="88"/>
    </row>
    <row r="11" spans="1:8" x14ac:dyDescent="0.2">
      <c r="A11" s="64" t="s">
        <v>1</v>
      </c>
      <c r="B11" s="16">
        <v>1147</v>
      </c>
      <c r="C11" s="16">
        <f>B11</f>
        <v>1147</v>
      </c>
      <c r="D11" s="83">
        <f>C11*Enhedsforbrug!C11</f>
        <v>86.024999999999991</v>
      </c>
      <c r="E11" s="84"/>
      <c r="F11" s="88"/>
    </row>
    <row r="12" spans="1:8" x14ac:dyDescent="0.2">
      <c r="A12" s="64" t="s">
        <v>3</v>
      </c>
      <c r="B12" s="16">
        <v>1690</v>
      </c>
      <c r="C12" s="16">
        <f>B12</f>
        <v>1690</v>
      </c>
      <c r="D12" s="83">
        <f>C12*Enhedsforbrug!C12</f>
        <v>310.62200000000001</v>
      </c>
      <c r="E12" s="84"/>
      <c r="F12" s="88"/>
    </row>
    <row r="13" spans="1:8" x14ac:dyDescent="0.2">
      <c r="A13" s="64" t="s">
        <v>13</v>
      </c>
      <c r="B13" s="16"/>
      <c r="C13" s="16"/>
      <c r="D13" s="83">
        <f>D7+D8+D9</f>
        <v>136.24928236674492</v>
      </c>
      <c r="E13" s="84"/>
      <c r="F13" s="88"/>
    </row>
    <row r="14" spans="1:8" x14ac:dyDescent="0.2">
      <c r="A14" s="82" t="s">
        <v>83</v>
      </c>
    </row>
    <row r="15" spans="1:8" x14ac:dyDescent="0.2">
      <c r="A15" s="19" t="s">
        <v>19</v>
      </c>
      <c r="B15" s="19"/>
      <c r="C15" s="19"/>
      <c r="D15" s="19"/>
      <c r="E15" s="19"/>
    </row>
    <row r="16" spans="1:8" x14ac:dyDescent="0.2">
      <c r="A16" s="64">
        <v>2018</v>
      </c>
      <c r="B16" s="57" t="s">
        <v>68</v>
      </c>
      <c r="C16" s="21" t="s">
        <v>8</v>
      </c>
      <c r="D16" s="40" t="s">
        <v>12</v>
      </c>
    </row>
    <row r="17" spans="1:6" x14ac:dyDescent="0.2">
      <c r="A17" s="64" t="s">
        <v>9</v>
      </c>
      <c r="B17" s="16">
        <v>2718</v>
      </c>
      <c r="C17" s="16">
        <v>2273</v>
      </c>
      <c r="D17" s="65">
        <v>59.779899999999998</v>
      </c>
      <c r="F17" s="41"/>
    </row>
    <row r="18" spans="1:6" x14ac:dyDescent="0.2">
      <c r="A18" s="64" t="s">
        <v>7</v>
      </c>
      <c r="B18" s="16">
        <v>0</v>
      </c>
      <c r="C18" s="16">
        <v>445</v>
      </c>
      <c r="D18" s="65">
        <v>7.4314999999999998</v>
      </c>
      <c r="F18" s="41"/>
    </row>
    <row r="19" spans="1:6" x14ac:dyDescent="0.2">
      <c r="A19" s="64" t="s">
        <v>2</v>
      </c>
      <c r="B19" s="16">
        <v>529</v>
      </c>
      <c r="C19" s="16">
        <v>529</v>
      </c>
      <c r="D19" s="65">
        <v>69.034500000000008</v>
      </c>
    </row>
    <row r="20" spans="1:6" x14ac:dyDescent="0.2">
      <c r="A20" s="64" t="s">
        <v>6</v>
      </c>
      <c r="B20" s="16">
        <v>196</v>
      </c>
      <c r="C20" s="16">
        <v>196</v>
      </c>
      <c r="D20" s="66">
        <v>119.0896</v>
      </c>
    </row>
    <row r="21" spans="1:6" x14ac:dyDescent="0.2">
      <c r="A21" s="64" t="s">
        <v>1</v>
      </c>
      <c r="B21" s="16">
        <v>1147</v>
      </c>
      <c r="C21" s="16">
        <v>1147</v>
      </c>
      <c r="D21" s="66">
        <v>86.024999999999991</v>
      </c>
    </row>
    <row r="22" spans="1:6" x14ac:dyDescent="0.2">
      <c r="A22" s="64" t="s">
        <v>3</v>
      </c>
      <c r="B22" s="16">
        <v>1690</v>
      </c>
      <c r="C22" s="16">
        <v>1690</v>
      </c>
      <c r="D22" s="66">
        <v>310.62200000000001</v>
      </c>
    </row>
    <row r="23" spans="1:6" x14ac:dyDescent="0.2">
      <c r="A23" s="64" t="s">
        <v>13</v>
      </c>
      <c r="B23" s="16"/>
      <c r="C23" s="16"/>
      <c r="D23" s="67">
        <v>136.24590000000001</v>
      </c>
    </row>
    <row r="24" spans="1:6" x14ac:dyDescent="0.2">
      <c r="A24" s="19"/>
      <c r="B24" s="19"/>
      <c r="C24" s="19"/>
      <c r="D24" s="19"/>
      <c r="E24" s="19"/>
    </row>
    <row r="25" spans="1:6" x14ac:dyDescent="0.2">
      <c r="A25" s="19" t="s">
        <v>19</v>
      </c>
      <c r="B25" s="19">
        <v>810</v>
      </c>
      <c r="C25" s="19"/>
      <c r="D25" s="19"/>
      <c r="E25" s="19"/>
    </row>
    <row r="26" spans="1:6" x14ac:dyDescent="0.2">
      <c r="A26" s="64">
        <v>2016</v>
      </c>
      <c r="B26" s="53" t="s">
        <v>68</v>
      </c>
      <c r="C26" s="21" t="s">
        <v>8</v>
      </c>
      <c r="D26" s="40" t="s">
        <v>12</v>
      </c>
    </row>
    <row r="27" spans="1:6" x14ac:dyDescent="0.2">
      <c r="A27" s="64" t="s">
        <v>9</v>
      </c>
      <c r="B27" s="16">
        <v>2718</v>
      </c>
      <c r="C27" s="16">
        <v>2273</v>
      </c>
      <c r="D27" s="65">
        <v>59.779899999999998</v>
      </c>
      <c r="F27" s="41"/>
    </row>
    <row r="28" spans="1:6" x14ac:dyDescent="0.2">
      <c r="A28" s="64" t="s">
        <v>7</v>
      </c>
      <c r="B28" s="16">
        <v>0</v>
      </c>
      <c r="C28" s="16">
        <v>445</v>
      </c>
      <c r="D28" s="65">
        <v>7.4314999999999998</v>
      </c>
      <c r="F28" s="41"/>
    </row>
    <row r="29" spans="1:6" x14ac:dyDescent="0.2">
      <c r="A29" s="64" t="s">
        <v>2</v>
      </c>
      <c r="B29" s="16">
        <v>529</v>
      </c>
      <c r="C29" s="16">
        <v>529</v>
      </c>
      <c r="D29" s="65">
        <v>69.034500000000008</v>
      </c>
    </row>
    <row r="30" spans="1:6" x14ac:dyDescent="0.2">
      <c r="A30" s="64" t="s">
        <v>6</v>
      </c>
      <c r="B30" s="16">
        <v>196</v>
      </c>
      <c r="C30" s="16">
        <v>196</v>
      </c>
      <c r="D30" s="66">
        <v>119.0896</v>
      </c>
    </row>
    <row r="31" spans="1:6" x14ac:dyDescent="0.2">
      <c r="A31" s="64" t="s">
        <v>1</v>
      </c>
      <c r="B31" s="16">
        <v>1147</v>
      </c>
      <c r="C31" s="16">
        <v>1147</v>
      </c>
      <c r="D31" s="66">
        <v>86.024999999999991</v>
      </c>
    </row>
    <row r="32" spans="1:6" x14ac:dyDescent="0.2">
      <c r="A32" s="64" t="s">
        <v>3</v>
      </c>
      <c r="B32" s="16">
        <v>1690</v>
      </c>
      <c r="C32" s="16">
        <v>1690</v>
      </c>
      <c r="D32" s="66">
        <v>310.62200000000001</v>
      </c>
    </row>
    <row r="33" spans="1:7" x14ac:dyDescent="0.2">
      <c r="A33" s="64" t="s">
        <v>13</v>
      </c>
      <c r="B33" s="16"/>
      <c r="C33" s="16"/>
      <c r="D33" s="67">
        <v>136.24590000000001</v>
      </c>
    </row>
    <row r="34" spans="1:7" x14ac:dyDescent="0.2">
      <c r="A34" s="19"/>
      <c r="B34" s="15"/>
      <c r="C34" s="19"/>
      <c r="D34" s="19"/>
      <c r="E34" s="15"/>
    </row>
    <row r="35" spans="1:7" x14ac:dyDescent="0.2">
      <c r="A35" s="19" t="s">
        <v>19</v>
      </c>
      <c r="B35" s="19">
        <v>810</v>
      </c>
      <c r="C35" s="19"/>
      <c r="D35" s="19"/>
      <c r="E35" s="19"/>
    </row>
    <row r="36" spans="1:7" ht="25.5" x14ac:dyDescent="0.2">
      <c r="A36" s="64">
        <v>2010</v>
      </c>
      <c r="B36" s="13" t="s">
        <v>20</v>
      </c>
      <c r="C36" s="68" t="s">
        <v>21</v>
      </c>
      <c r="D36" s="21" t="s">
        <v>8</v>
      </c>
      <c r="E36" s="40" t="s">
        <v>12</v>
      </c>
    </row>
    <row r="37" spans="1:7" x14ac:dyDescent="0.2">
      <c r="A37" s="64" t="s">
        <v>9</v>
      </c>
      <c r="B37" s="17">
        <v>266</v>
      </c>
      <c r="C37" s="17">
        <v>2229</v>
      </c>
      <c r="D37" s="16">
        <v>2495</v>
      </c>
      <c r="E37" s="16">
        <v>65.618499999999997</v>
      </c>
      <c r="F37" s="41"/>
      <c r="G37" s="41">
        <f>D37/(D37+D38)</f>
        <v>0.83640630238015423</v>
      </c>
    </row>
    <row r="38" spans="1:7" x14ac:dyDescent="0.2">
      <c r="A38" s="64" t="s">
        <v>7</v>
      </c>
      <c r="B38" s="17">
        <v>488</v>
      </c>
      <c r="C38" s="17"/>
      <c r="D38" s="16">
        <v>488</v>
      </c>
      <c r="E38" s="16">
        <v>8.1495999999999995</v>
      </c>
      <c r="F38" s="41"/>
      <c r="G38" s="41">
        <f>D38/(D37+D38)</f>
        <v>0.1635936976198458</v>
      </c>
    </row>
    <row r="39" spans="1:7" x14ac:dyDescent="0.2">
      <c r="A39" s="64" t="s">
        <v>2</v>
      </c>
      <c r="B39" s="17">
        <v>20</v>
      </c>
      <c r="C39" s="17">
        <v>531</v>
      </c>
      <c r="D39" s="16">
        <v>551</v>
      </c>
      <c r="E39" s="16">
        <v>71.905500000000004</v>
      </c>
    </row>
    <row r="40" spans="1:7" x14ac:dyDescent="0.2">
      <c r="A40" s="64" t="s">
        <v>6</v>
      </c>
      <c r="B40" s="17">
        <v>18</v>
      </c>
      <c r="C40" s="17">
        <v>142</v>
      </c>
      <c r="D40" s="16">
        <v>160</v>
      </c>
      <c r="E40" s="22">
        <v>97.216000000000008</v>
      </c>
    </row>
    <row r="41" spans="1:7" x14ac:dyDescent="0.2">
      <c r="A41" s="64" t="s">
        <v>1</v>
      </c>
      <c r="B41" s="17">
        <v>259</v>
      </c>
      <c r="C41" s="17">
        <v>1187</v>
      </c>
      <c r="D41" s="16">
        <v>1446</v>
      </c>
      <c r="E41" s="22">
        <v>108.45</v>
      </c>
    </row>
    <row r="42" spans="1:7" x14ac:dyDescent="0.2">
      <c r="A42" s="64" t="s">
        <v>3</v>
      </c>
      <c r="B42" s="17"/>
      <c r="C42" s="17">
        <v>599</v>
      </c>
      <c r="D42" s="16">
        <v>599</v>
      </c>
      <c r="E42" s="22">
        <v>110.09620000000001</v>
      </c>
    </row>
    <row r="43" spans="1:7" x14ac:dyDescent="0.2">
      <c r="A43" s="64" t="s">
        <v>13</v>
      </c>
      <c r="B43" s="23"/>
      <c r="C43" s="16"/>
      <c r="D43" s="16"/>
      <c r="E43" s="22">
        <v>145.67360000000002</v>
      </c>
    </row>
    <row r="44" spans="1:7" x14ac:dyDescent="0.2">
      <c r="A44" s="19"/>
      <c r="B44" s="19"/>
      <c r="C44" s="19"/>
      <c r="D44" s="19"/>
      <c r="E44" s="19"/>
    </row>
    <row r="47" spans="1:7" x14ac:dyDescent="0.2">
      <c r="A47" s="69" t="s">
        <v>74</v>
      </c>
      <c r="C47" s="69"/>
      <c r="D47" s="69"/>
    </row>
    <row r="48" spans="1:7" x14ac:dyDescent="0.2">
      <c r="A48" s="58" t="s">
        <v>71</v>
      </c>
    </row>
    <row r="49" spans="1:1" ht="25.5" x14ac:dyDescent="0.2">
      <c r="A49" s="59" t="s">
        <v>72</v>
      </c>
    </row>
    <row r="50" spans="1:1" x14ac:dyDescent="0.2">
      <c r="A50" s="60" t="s">
        <v>73</v>
      </c>
    </row>
    <row r="51" spans="1:1" ht="25.5" x14ac:dyDescent="0.2">
      <c r="A51" s="61" t="s">
        <v>82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2F4E-09AF-41BC-9AEA-3FF3D78E47FB}">
  <dimension ref="A1:H51"/>
  <sheetViews>
    <sheetView showGridLines="0" workbookViewId="0">
      <selection activeCell="M21" sqref="M21"/>
    </sheetView>
  </sheetViews>
  <sheetFormatPr defaultRowHeight="12.75" x14ac:dyDescent="0.2"/>
  <cols>
    <col min="1" max="3" width="25.7109375" customWidth="1"/>
    <col min="4" max="5" width="13.140625" customWidth="1"/>
    <col min="6" max="6" width="11.42578125" customWidth="1"/>
    <col min="7" max="7" width="11.28515625" customWidth="1"/>
  </cols>
  <sheetData>
    <row r="1" spans="1:8" ht="26.25" x14ac:dyDescent="0.4">
      <c r="A1" s="38" t="s">
        <v>79</v>
      </c>
      <c r="B1" s="39"/>
      <c r="C1" s="39"/>
      <c r="D1" s="38"/>
      <c r="E1" s="38"/>
      <c r="F1" s="39"/>
      <c r="G1" s="39"/>
    </row>
    <row r="2" spans="1:8" x14ac:dyDescent="0.2">
      <c r="A2" s="19"/>
      <c r="B2" s="19"/>
      <c r="C2" s="19"/>
      <c r="D2" s="19"/>
      <c r="E2" s="19"/>
      <c r="F2" s="19"/>
      <c r="G2" s="19"/>
    </row>
    <row r="3" spans="1:8" ht="15" x14ac:dyDescent="0.25">
      <c r="A3" s="50" t="s">
        <v>69</v>
      </c>
      <c r="B3" s="19"/>
      <c r="C3" s="19"/>
      <c r="D3" s="50"/>
      <c r="E3" s="50"/>
      <c r="F3" s="19"/>
      <c r="G3" s="19"/>
    </row>
    <row r="5" spans="1:8" x14ac:dyDescent="0.2">
      <c r="A5" s="37" t="s">
        <v>42</v>
      </c>
      <c r="B5" s="37">
        <v>820</v>
      </c>
      <c r="C5" s="37"/>
      <c r="D5" s="37"/>
      <c r="H5" s="79"/>
    </row>
    <row r="6" spans="1:8" x14ac:dyDescent="0.2">
      <c r="A6" s="70">
        <v>2020</v>
      </c>
      <c r="B6" s="57" t="s">
        <v>43</v>
      </c>
      <c r="C6" s="54" t="s">
        <v>36</v>
      </c>
      <c r="D6" s="25" t="s">
        <v>8</v>
      </c>
      <c r="E6" s="40" t="s">
        <v>12</v>
      </c>
    </row>
    <row r="7" spans="1:8" x14ac:dyDescent="0.2">
      <c r="A7" s="70" t="s">
        <v>9</v>
      </c>
      <c r="B7" s="26">
        <v>3200</v>
      </c>
      <c r="C7" s="26">
        <v>1072</v>
      </c>
      <c r="D7" s="16">
        <f>SUM(B7:C7)</f>
        <v>4272</v>
      </c>
      <c r="E7" s="35">
        <f>D7*Enhedsforbrug!$C$7</f>
        <v>112.3536</v>
      </c>
    </row>
    <row r="8" spans="1:8" x14ac:dyDescent="0.2">
      <c r="A8" s="70" t="s">
        <v>7</v>
      </c>
      <c r="B8" s="26">
        <v>713</v>
      </c>
      <c r="C8" s="26">
        <v>863</v>
      </c>
      <c r="D8" s="16">
        <f t="shared" ref="D8:D12" si="0">SUM(B8:C8)</f>
        <v>1576</v>
      </c>
      <c r="E8" s="35">
        <f>D8*Enhedsforbrug!$C$8</f>
        <v>26.319199999999999</v>
      </c>
    </row>
    <row r="9" spans="1:8" x14ac:dyDescent="0.2">
      <c r="A9" s="70" t="s">
        <v>2</v>
      </c>
      <c r="B9" s="26">
        <v>409</v>
      </c>
      <c r="C9" s="26">
        <f>301+3</f>
        <v>304</v>
      </c>
      <c r="D9" s="16">
        <f t="shared" si="0"/>
        <v>713</v>
      </c>
      <c r="E9" s="35">
        <f>D9*Enhedsforbrug!$C$9</f>
        <v>93.046500000000009</v>
      </c>
    </row>
    <row r="10" spans="1:8" x14ac:dyDescent="0.2">
      <c r="A10" s="70" t="s">
        <v>6</v>
      </c>
      <c r="B10" s="26">
        <v>81</v>
      </c>
      <c r="C10" s="26">
        <v>45</v>
      </c>
      <c r="D10" s="16">
        <f t="shared" si="0"/>
        <v>126</v>
      </c>
      <c r="E10" s="22">
        <f>D10*Enhedsforbrug!$C$10</f>
        <v>76.557600000000008</v>
      </c>
      <c r="F10" s="88"/>
    </row>
    <row r="11" spans="1:8" x14ac:dyDescent="0.2">
      <c r="A11" s="70" t="s">
        <v>1</v>
      </c>
      <c r="B11" s="26">
        <v>1138</v>
      </c>
      <c r="C11" s="26">
        <f>316+8</f>
        <v>324</v>
      </c>
      <c r="D11" s="16">
        <f t="shared" si="0"/>
        <v>1462</v>
      </c>
      <c r="E11" s="22">
        <f>D11*Enhedsforbrug!$C$11</f>
        <v>109.64999999999999</v>
      </c>
      <c r="F11" s="88"/>
    </row>
    <row r="12" spans="1:8" x14ac:dyDescent="0.2">
      <c r="A12" s="70" t="s">
        <v>3</v>
      </c>
      <c r="B12" s="26">
        <v>1662</v>
      </c>
      <c r="C12" s="26">
        <f>381+1</f>
        <v>382</v>
      </c>
      <c r="D12" s="16">
        <f t="shared" si="0"/>
        <v>2044</v>
      </c>
      <c r="E12" s="22">
        <f>D12*Enhedsforbrug!$C$12</f>
        <v>375.68720000000002</v>
      </c>
      <c r="F12" s="88"/>
    </row>
    <row r="13" spans="1:8" x14ac:dyDescent="0.2">
      <c r="A13" s="70" t="s">
        <v>13</v>
      </c>
      <c r="B13" s="28"/>
      <c r="C13" s="28"/>
      <c r="D13" s="35"/>
      <c r="E13" s="22">
        <f>SUM(E7:E9)</f>
        <v>231.7193</v>
      </c>
      <c r="F13" s="88"/>
    </row>
    <row r="15" spans="1:8" x14ac:dyDescent="0.2">
      <c r="A15" s="37" t="s">
        <v>42</v>
      </c>
      <c r="B15" s="37">
        <v>820</v>
      </c>
      <c r="C15" s="37"/>
      <c r="D15" s="37"/>
      <c r="F15" s="37"/>
      <c r="G15" s="37"/>
    </row>
    <row r="16" spans="1:8" x14ac:dyDescent="0.2">
      <c r="A16" s="70">
        <v>2018</v>
      </c>
      <c r="B16" s="54" t="s">
        <v>43</v>
      </c>
      <c r="C16" s="54" t="s">
        <v>36</v>
      </c>
      <c r="D16" s="25" t="s">
        <v>8</v>
      </c>
      <c r="E16" s="40" t="s">
        <v>12</v>
      </c>
    </row>
    <row r="17" spans="1:7" x14ac:dyDescent="0.2">
      <c r="A17" s="70" t="s">
        <v>9</v>
      </c>
      <c r="B17" s="26">
        <v>3200</v>
      </c>
      <c r="C17" s="26">
        <v>1088</v>
      </c>
      <c r="D17" s="16">
        <v>4288</v>
      </c>
      <c r="E17" s="35">
        <v>112.7744</v>
      </c>
      <c r="G17" s="41">
        <v>0.56817278388763748</v>
      </c>
    </row>
    <row r="18" spans="1:7" x14ac:dyDescent="0.2">
      <c r="A18" s="70" t="s">
        <v>7</v>
      </c>
      <c r="B18" s="26">
        <v>713</v>
      </c>
      <c r="C18" s="26">
        <v>2546</v>
      </c>
      <c r="D18" s="16">
        <v>3259</v>
      </c>
      <c r="E18" s="35">
        <v>54.4253</v>
      </c>
      <c r="G18" s="41">
        <v>0.43182721611236252</v>
      </c>
    </row>
    <row r="19" spans="1:7" x14ac:dyDescent="0.2">
      <c r="A19" s="70" t="s">
        <v>2</v>
      </c>
      <c r="B19" s="26">
        <v>409</v>
      </c>
      <c r="C19" s="26">
        <v>335</v>
      </c>
      <c r="D19" s="35">
        <v>744</v>
      </c>
      <c r="E19" s="35">
        <v>97.091999999999999</v>
      </c>
    </row>
    <row r="20" spans="1:7" x14ac:dyDescent="0.2">
      <c r="A20" s="70" t="s">
        <v>6</v>
      </c>
      <c r="B20" s="26">
        <v>81</v>
      </c>
      <c r="C20" s="26">
        <v>45</v>
      </c>
      <c r="D20" s="35">
        <v>126</v>
      </c>
      <c r="E20" s="22">
        <v>76.557600000000008</v>
      </c>
    </row>
    <row r="21" spans="1:7" x14ac:dyDescent="0.2">
      <c r="A21" s="70" t="s">
        <v>1</v>
      </c>
      <c r="B21" s="26">
        <v>1138</v>
      </c>
      <c r="C21" s="26">
        <v>389</v>
      </c>
      <c r="D21" s="35">
        <v>1527</v>
      </c>
      <c r="E21" s="22">
        <v>114.52499999999999</v>
      </c>
    </row>
    <row r="22" spans="1:7" x14ac:dyDescent="0.2">
      <c r="A22" s="70" t="s">
        <v>3</v>
      </c>
      <c r="B22" s="26">
        <v>1662</v>
      </c>
      <c r="C22" s="26">
        <v>388</v>
      </c>
      <c r="D22" s="35">
        <v>2050</v>
      </c>
      <c r="E22" s="22">
        <v>376.79</v>
      </c>
    </row>
    <row r="23" spans="1:7" x14ac:dyDescent="0.2">
      <c r="A23" s="70" t="s">
        <v>13</v>
      </c>
      <c r="B23" s="28"/>
      <c r="C23" s="28"/>
      <c r="D23" s="35"/>
      <c r="E23" s="22">
        <v>264.29169999999999</v>
      </c>
    </row>
    <row r="25" spans="1:7" x14ac:dyDescent="0.2">
      <c r="A25" s="37" t="s">
        <v>42</v>
      </c>
      <c r="B25" s="37">
        <v>820</v>
      </c>
      <c r="C25" s="37"/>
      <c r="D25" s="37"/>
      <c r="E25" s="37"/>
    </row>
    <row r="26" spans="1:7" x14ac:dyDescent="0.2">
      <c r="A26" s="70">
        <v>2016</v>
      </c>
      <c r="B26" s="56" t="s">
        <v>43</v>
      </c>
      <c r="C26" s="56" t="s">
        <v>36</v>
      </c>
      <c r="D26" s="25" t="s">
        <v>8</v>
      </c>
      <c r="E26" s="40" t="s">
        <v>12</v>
      </c>
    </row>
    <row r="27" spans="1:7" x14ac:dyDescent="0.2">
      <c r="A27" s="70" t="s">
        <v>9</v>
      </c>
      <c r="B27" s="26">
        <v>4101</v>
      </c>
      <c r="C27" s="26">
        <v>932</v>
      </c>
      <c r="D27" s="16">
        <v>5029</v>
      </c>
      <c r="E27" s="35">
        <v>132.2627</v>
      </c>
      <c r="G27" s="41">
        <v>0.85035508961785589</v>
      </c>
    </row>
    <row r="28" spans="1:7" x14ac:dyDescent="0.2">
      <c r="A28" s="70" t="s">
        <v>7</v>
      </c>
      <c r="B28" s="26"/>
      <c r="C28" s="26">
        <v>881</v>
      </c>
      <c r="D28" s="16">
        <v>885</v>
      </c>
      <c r="E28" s="35">
        <v>14.779499999999999</v>
      </c>
      <c r="G28" s="41">
        <v>0.14964491038214406</v>
      </c>
    </row>
    <row r="29" spans="1:7" x14ac:dyDescent="0.2">
      <c r="A29" s="70" t="s">
        <v>2</v>
      </c>
      <c r="B29" s="26">
        <v>445</v>
      </c>
      <c r="C29" s="26">
        <v>411</v>
      </c>
      <c r="D29" s="35">
        <v>856</v>
      </c>
      <c r="E29" s="35">
        <v>111.708</v>
      </c>
    </row>
    <row r="30" spans="1:7" x14ac:dyDescent="0.2">
      <c r="A30" s="70" t="s">
        <v>6</v>
      </c>
      <c r="B30" s="26">
        <v>96</v>
      </c>
      <c r="C30" s="26">
        <v>44</v>
      </c>
      <c r="D30" s="35">
        <v>140</v>
      </c>
      <c r="E30" s="22">
        <v>85.064000000000007</v>
      </c>
    </row>
    <row r="31" spans="1:7" x14ac:dyDescent="0.2">
      <c r="A31" s="70" t="s">
        <v>1</v>
      </c>
      <c r="B31" s="26">
        <v>1963</v>
      </c>
      <c r="C31" s="26">
        <v>546</v>
      </c>
      <c r="D31" s="35">
        <v>2509</v>
      </c>
      <c r="E31" s="22">
        <v>188.17499999999998</v>
      </c>
    </row>
    <row r="32" spans="1:7" x14ac:dyDescent="0.2">
      <c r="A32" s="70" t="s">
        <v>3</v>
      </c>
      <c r="B32" s="26">
        <v>1806</v>
      </c>
      <c r="C32" s="26">
        <v>271</v>
      </c>
      <c r="D32" s="35">
        <v>2077</v>
      </c>
      <c r="E32" s="22">
        <v>381.75260000000003</v>
      </c>
    </row>
    <row r="33" spans="1:7" x14ac:dyDescent="0.2">
      <c r="A33" s="70" t="s">
        <v>13</v>
      </c>
      <c r="B33" s="28"/>
      <c r="C33" s="28"/>
      <c r="D33" s="35"/>
      <c r="E33" s="22">
        <v>258.75019999999995</v>
      </c>
    </row>
    <row r="34" spans="1:7" x14ac:dyDescent="0.2">
      <c r="A34" s="37"/>
      <c r="B34" s="27"/>
      <c r="C34" s="27"/>
      <c r="D34" s="27"/>
      <c r="E34" s="27"/>
    </row>
    <row r="35" spans="1:7" x14ac:dyDescent="0.2">
      <c r="A35" s="37" t="s">
        <v>42</v>
      </c>
      <c r="B35" s="27">
        <v>820</v>
      </c>
      <c r="C35" s="27"/>
      <c r="D35" s="27"/>
      <c r="E35" s="27"/>
    </row>
    <row r="36" spans="1:7" x14ac:dyDescent="0.2">
      <c r="A36" s="70">
        <v>2010</v>
      </c>
      <c r="B36" s="55" t="s">
        <v>44</v>
      </c>
      <c r="C36" s="56" t="s">
        <v>36</v>
      </c>
      <c r="D36" s="28" t="s">
        <v>8</v>
      </c>
      <c r="E36" s="24" t="s">
        <v>12</v>
      </c>
    </row>
    <row r="37" spans="1:7" x14ac:dyDescent="0.2">
      <c r="A37" s="70" t="s">
        <v>9</v>
      </c>
      <c r="B37" s="26">
        <v>6063</v>
      </c>
      <c r="C37" s="26">
        <v>934</v>
      </c>
      <c r="D37" s="35">
        <v>6997</v>
      </c>
      <c r="E37" s="35">
        <v>184.02109999999999</v>
      </c>
      <c r="G37" s="41">
        <v>0.8502855754040588</v>
      </c>
    </row>
    <row r="38" spans="1:7" x14ac:dyDescent="0.2">
      <c r="A38" s="70" t="s">
        <v>7</v>
      </c>
      <c r="B38" s="27">
        <v>396</v>
      </c>
      <c r="C38" s="26">
        <v>836</v>
      </c>
      <c r="D38" s="35">
        <v>1232</v>
      </c>
      <c r="E38" s="35">
        <v>20.574400000000001</v>
      </c>
      <c r="G38" s="41">
        <v>0.14971442459594117</v>
      </c>
    </row>
    <row r="39" spans="1:7" x14ac:dyDescent="0.2">
      <c r="A39" s="70" t="s">
        <v>2</v>
      </c>
      <c r="B39" s="26">
        <v>1656</v>
      </c>
      <c r="C39" s="26">
        <v>602</v>
      </c>
      <c r="D39" s="35">
        <v>2258</v>
      </c>
      <c r="E39" s="35">
        <v>294.66899999999998</v>
      </c>
    </row>
    <row r="40" spans="1:7" x14ac:dyDescent="0.2">
      <c r="A40" s="70" t="s">
        <v>6</v>
      </c>
      <c r="B40" s="26">
        <v>209</v>
      </c>
      <c r="C40" s="26">
        <v>62</v>
      </c>
      <c r="D40" s="35">
        <v>271</v>
      </c>
      <c r="E40" s="22">
        <v>164.65960000000001</v>
      </c>
    </row>
    <row r="41" spans="1:7" x14ac:dyDescent="0.2">
      <c r="A41" s="70" t="s">
        <v>1</v>
      </c>
      <c r="B41" s="26">
        <v>4339</v>
      </c>
      <c r="C41" s="26">
        <v>791</v>
      </c>
      <c r="D41" s="35">
        <v>5130</v>
      </c>
      <c r="E41" s="22">
        <v>384.75</v>
      </c>
    </row>
    <row r="42" spans="1:7" x14ac:dyDescent="0.2">
      <c r="A42" s="70" t="s">
        <v>3</v>
      </c>
      <c r="B42" s="26">
        <v>1758</v>
      </c>
      <c r="C42" s="26">
        <v>141</v>
      </c>
      <c r="D42" s="35">
        <v>1899</v>
      </c>
      <c r="E42" s="22">
        <v>349.03620000000001</v>
      </c>
    </row>
    <row r="43" spans="1:7" x14ac:dyDescent="0.2">
      <c r="A43" s="70" t="s">
        <v>13</v>
      </c>
      <c r="B43" s="28"/>
      <c r="C43" s="28"/>
      <c r="D43" s="35"/>
      <c r="E43" s="22">
        <v>499.2645</v>
      </c>
    </row>
    <row r="47" spans="1:7" x14ac:dyDescent="0.2">
      <c r="A47" s="69" t="s">
        <v>74</v>
      </c>
      <c r="D47" s="69"/>
      <c r="E47" s="69"/>
    </row>
    <row r="48" spans="1:7" x14ac:dyDescent="0.2">
      <c r="A48" s="58" t="s">
        <v>71</v>
      </c>
    </row>
    <row r="49" spans="1:1" ht="25.5" x14ac:dyDescent="0.2">
      <c r="A49" s="59" t="s">
        <v>72</v>
      </c>
    </row>
    <row r="50" spans="1:1" x14ac:dyDescent="0.2">
      <c r="A50" s="60" t="s">
        <v>73</v>
      </c>
    </row>
    <row r="51" spans="1:1" ht="25.5" x14ac:dyDescent="0.2">
      <c r="A51" s="61" t="s">
        <v>82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34A8-9366-467B-A40D-E00DA734D043}">
  <dimension ref="A1:J61"/>
  <sheetViews>
    <sheetView showGridLines="0" zoomScale="85" zoomScaleNormal="85" workbookViewId="0">
      <selection activeCell="M21" sqref="M21"/>
    </sheetView>
  </sheetViews>
  <sheetFormatPr defaultRowHeight="12.75" x14ac:dyDescent="0.2"/>
  <cols>
    <col min="1" max="6" width="25.7109375" customWidth="1"/>
    <col min="7" max="8" width="13" customWidth="1"/>
  </cols>
  <sheetData>
    <row r="1" spans="1:10" s="38" customFormat="1" ht="26.25" x14ac:dyDescent="0.4">
      <c r="A1" s="38" t="s">
        <v>79</v>
      </c>
    </row>
    <row r="2" spans="1:10" x14ac:dyDescent="0.2">
      <c r="A2" s="19"/>
      <c r="B2" s="19"/>
      <c r="C2" s="19"/>
      <c r="D2" s="19"/>
      <c r="E2" s="19"/>
      <c r="G2" s="19"/>
      <c r="H2" s="19"/>
    </row>
    <row r="3" spans="1:10" ht="15" x14ac:dyDescent="0.25">
      <c r="A3" s="50" t="s">
        <v>69</v>
      </c>
      <c r="B3" s="19"/>
      <c r="C3" s="19"/>
      <c r="D3" s="19"/>
      <c r="E3" s="19"/>
      <c r="G3" s="50"/>
      <c r="H3" s="50"/>
    </row>
    <row r="5" spans="1:10" x14ac:dyDescent="0.2">
      <c r="A5" s="37" t="s">
        <v>45</v>
      </c>
      <c r="B5" s="37">
        <v>851</v>
      </c>
      <c r="C5" s="37"/>
      <c r="D5" s="37"/>
      <c r="E5" s="37"/>
      <c r="F5" s="37"/>
      <c r="G5" s="37"/>
      <c r="H5" s="80"/>
    </row>
    <row r="6" spans="1:10" x14ac:dyDescent="0.2">
      <c r="A6" s="70">
        <v>2018</v>
      </c>
      <c r="B6" s="57" t="s">
        <v>46</v>
      </c>
      <c r="C6" s="54" t="s">
        <v>35</v>
      </c>
      <c r="D6" s="57" t="s">
        <v>47</v>
      </c>
      <c r="E6" s="54" t="s">
        <v>36</v>
      </c>
      <c r="F6" s="57" t="s">
        <v>48</v>
      </c>
      <c r="G6" s="25" t="s">
        <v>8</v>
      </c>
      <c r="H6" s="40" t="s">
        <v>12</v>
      </c>
    </row>
    <row r="7" spans="1:10" x14ac:dyDescent="0.2">
      <c r="A7" s="70" t="s">
        <v>9</v>
      </c>
      <c r="B7" s="26">
        <v>3050</v>
      </c>
      <c r="C7" s="26">
        <v>3289</v>
      </c>
      <c r="D7" s="26">
        <v>5001</v>
      </c>
      <c r="E7" s="26">
        <v>1136</v>
      </c>
      <c r="F7" s="26">
        <v>5049</v>
      </c>
      <c r="G7" s="16">
        <f>SUM(B7:F8)*J17</f>
        <v>12909.207343899825</v>
      </c>
      <c r="H7" s="35">
        <f>G7*Enhedsforbrug!$C$7</f>
        <v>339.51215314456539</v>
      </c>
      <c r="J7" s="41"/>
    </row>
    <row r="8" spans="1:10" x14ac:dyDescent="0.2">
      <c r="A8" s="70" t="s">
        <v>7</v>
      </c>
      <c r="B8" s="35"/>
      <c r="C8" s="35">
        <v>0</v>
      </c>
      <c r="D8" s="35"/>
      <c r="E8" s="35">
        <v>68</v>
      </c>
      <c r="F8" s="26"/>
      <c r="G8" s="16">
        <f>SUM(B7:F8)*J18</f>
        <v>4683.792656100175</v>
      </c>
      <c r="H8" s="35">
        <f>G8*Enhedsforbrug!$C$8</f>
        <v>78.219337356872927</v>
      </c>
      <c r="J8" s="41"/>
    </row>
    <row r="9" spans="1:10" x14ac:dyDescent="0.2">
      <c r="A9" s="70" t="s">
        <v>2</v>
      </c>
      <c r="B9" s="26">
        <v>3</v>
      </c>
      <c r="C9" s="26">
        <v>253</v>
      </c>
      <c r="D9" s="26">
        <v>186</v>
      </c>
      <c r="E9" s="26">
        <v>187</v>
      </c>
      <c r="F9" s="26">
        <v>201</v>
      </c>
      <c r="G9" s="35">
        <f>SUM(B9:F9)</f>
        <v>830</v>
      </c>
      <c r="H9" s="35">
        <f>G9*Enhedsforbrug!$C$9</f>
        <v>108.315</v>
      </c>
    </row>
    <row r="10" spans="1:10" x14ac:dyDescent="0.2">
      <c r="A10" s="70" t="s">
        <v>6</v>
      </c>
      <c r="B10" s="26">
        <v>0</v>
      </c>
      <c r="C10" s="26">
        <v>50</v>
      </c>
      <c r="D10" s="26">
        <v>51</v>
      </c>
      <c r="E10" s="26">
        <v>38</v>
      </c>
      <c r="F10" s="86">
        <v>69</v>
      </c>
      <c r="G10" s="35">
        <f t="shared" ref="G10:G12" si="0">SUM(B10:F10)</f>
        <v>208</v>
      </c>
      <c r="H10" s="22">
        <f>G10*Enhedsforbrug!$C$10</f>
        <v>126.38080000000001</v>
      </c>
    </row>
    <row r="11" spans="1:10" x14ac:dyDescent="0.2">
      <c r="A11" s="70" t="s">
        <v>1</v>
      </c>
      <c r="B11" s="26">
        <v>93</v>
      </c>
      <c r="C11" s="26">
        <v>525</v>
      </c>
      <c r="D11" s="26">
        <v>479</v>
      </c>
      <c r="E11" s="26">
        <f>305+3</f>
        <v>308</v>
      </c>
      <c r="F11" s="86">
        <v>497</v>
      </c>
      <c r="G11" s="35">
        <f t="shared" si="0"/>
        <v>1902</v>
      </c>
      <c r="H11" s="22">
        <f>G11*Enhedsforbrug!$C$11</f>
        <v>142.65</v>
      </c>
    </row>
    <row r="12" spans="1:10" x14ac:dyDescent="0.2">
      <c r="A12" s="70" t="s">
        <v>3</v>
      </c>
      <c r="B12" s="26">
        <v>18</v>
      </c>
      <c r="C12" s="26">
        <v>786</v>
      </c>
      <c r="D12" s="26">
        <v>493</v>
      </c>
      <c r="E12" s="26">
        <v>298</v>
      </c>
      <c r="F12" s="86">
        <v>609</v>
      </c>
      <c r="G12" s="35">
        <f t="shared" si="0"/>
        <v>2204</v>
      </c>
      <c r="H12" s="22">
        <f>G12*Enhedsforbrug!$C$12</f>
        <v>405.09520000000003</v>
      </c>
    </row>
    <row r="13" spans="1:10" x14ac:dyDescent="0.2">
      <c r="A13" s="70" t="s">
        <v>13</v>
      </c>
      <c r="B13" s="28"/>
      <c r="C13" s="28"/>
      <c r="D13" s="28"/>
      <c r="E13" s="28"/>
      <c r="F13" s="87"/>
      <c r="G13" s="35"/>
      <c r="H13" s="22">
        <f>SUM(H7:H9)</f>
        <v>526.04649050143826</v>
      </c>
    </row>
    <row r="15" spans="1:10" x14ac:dyDescent="0.2">
      <c r="A15" s="37" t="s">
        <v>45</v>
      </c>
      <c r="B15" s="37">
        <v>851</v>
      </c>
      <c r="C15" s="37"/>
      <c r="D15" s="37"/>
      <c r="E15" s="37"/>
      <c r="F15" s="37"/>
      <c r="G15" s="37"/>
      <c r="H15" s="37"/>
    </row>
    <row r="16" spans="1:10" x14ac:dyDescent="0.2">
      <c r="A16" s="70">
        <v>2018</v>
      </c>
      <c r="B16" s="54" t="s">
        <v>46</v>
      </c>
      <c r="C16" s="54" t="s">
        <v>35</v>
      </c>
      <c r="D16" s="57" t="s">
        <v>47</v>
      </c>
      <c r="E16" s="54" t="s">
        <v>36</v>
      </c>
      <c r="F16" s="57" t="s">
        <v>48</v>
      </c>
      <c r="G16" s="25" t="s">
        <v>8</v>
      </c>
      <c r="H16" s="40" t="s">
        <v>12</v>
      </c>
    </row>
    <row r="17" spans="1:10" x14ac:dyDescent="0.2">
      <c r="A17" s="70" t="s">
        <v>9</v>
      </c>
      <c r="B17" s="26">
        <v>3050</v>
      </c>
      <c r="C17" s="26">
        <v>3407</v>
      </c>
      <c r="D17" s="26">
        <v>5001</v>
      </c>
      <c r="E17" s="26">
        <v>1222</v>
      </c>
      <c r="F17" s="26">
        <v>5049</v>
      </c>
      <c r="G17" s="16">
        <v>13009</v>
      </c>
      <c r="H17" s="35">
        <v>342.13670000000002</v>
      </c>
      <c r="J17" s="41">
        <f>G17/SUM($B$17:$F$18)</f>
        <v>0.73376953014834456</v>
      </c>
    </row>
    <row r="18" spans="1:10" x14ac:dyDescent="0.2">
      <c r="A18" s="70" t="s">
        <v>7</v>
      </c>
      <c r="B18" s="35"/>
      <c r="C18" s="35"/>
      <c r="D18" s="35"/>
      <c r="E18" s="35"/>
      <c r="F18" s="26"/>
      <c r="G18" s="16">
        <v>4720</v>
      </c>
      <c r="H18" s="35">
        <v>78.823999999999998</v>
      </c>
      <c r="J18" s="41">
        <f>G18/SUM($B$17:$F$18)</f>
        <v>0.26623046985165549</v>
      </c>
    </row>
    <row r="19" spans="1:10" x14ac:dyDescent="0.2">
      <c r="A19" s="70" t="s">
        <v>2</v>
      </c>
      <c r="B19" s="26">
        <v>3</v>
      </c>
      <c r="C19" s="26">
        <v>282</v>
      </c>
      <c r="D19" s="26">
        <v>186</v>
      </c>
      <c r="E19" s="26">
        <v>213</v>
      </c>
      <c r="F19" s="26">
        <v>201</v>
      </c>
      <c r="G19" s="35">
        <v>885</v>
      </c>
      <c r="H19" s="35">
        <v>115.49250000000001</v>
      </c>
    </row>
    <row r="20" spans="1:10" x14ac:dyDescent="0.2">
      <c r="A20" s="70" t="s">
        <v>6</v>
      </c>
      <c r="B20" s="26">
        <v>0</v>
      </c>
      <c r="C20" s="26">
        <v>53</v>
      </c>
      <c r="D20" s="26">
        <v>51</v>
      </c>
      <c r="E20" s="26">
        <v>38</v>
      </c>
      <c r="F20" s="26">
        <v>69</v>
      </c>
      <c r="G20" s="35">
        <v>211</v>
      </c>
      <c r="H20" s="22">
        <v>128.20359999999999</v>
      </c>
    </row>
    <row r="21" spans="1:10" x14ac:dyDescent="0.2">
      <c r="A21" s="70" t="s">
        <v>1</v>
      </c>
      <c r="B21" s="26">
        <v>93</v>
      </c>
      <c r="C21" s="26">
        <v>602</v>
      </c>
      <c r="D21" s="26">
        <v>479</v>
      </c>
      <c r="E21" s="26">
        <v>334</v>
      </c>
      <c r="F21" s="26">
        <v>497</v>
      </c>
      <c r="G21" s="35">
        <v>2005</v>
      </c>
      <c r="H21" s="22">
        <v>150.375</v>
      </c>
    </row>
    <row r="22" spans="1:10" x14ac:dyDescent="0.2">
      <c r="A22" s="70" t="s">
        <v>3</v>
      </c>
      <c r="B22" s="26">
        <v>18</v>
      </c>
      <c r="C22" s="26">
        <v>842</v>
      </c>
      <c r="D22" s="26">
        <v>493</v>
      </c>
      <c r="E22" s="26">
        <v>302</v>
      </c>
      <c r="F22" s="26">
        <v>609</v>
      </c>
      <c r="G22" s="35">
        <v>2264</v>
      </c>
      <c r="H22" s="22">
        <v>416.12320000000005</v>
      </c>
    </row>
    <row r="23" spans="1:10" x14ac:dyDescent="0.2">
      <c r="A23" s="70" t="s">
        <v>13</v>
      </c>
      <c r="B23" s="28"/>
      <c r="C23" s="28"/>
      <c r="D23" s="28"/>
      <c r="E23" s="28"/>
      <c r="F23" s="28"/>
      <c r="G23" s="35"/>
      <c r="H23" s="22">
        <v>536.45320000000004</v>
      </c>
    </row>
    <row r="25" spans="1:10" x14ac:dyDescent="0.2">
      <c r="A25" s="37" t="s">
        <v>45</v>
      </c>
      <c r="B25" s="37">
        <v>851</v>
      </c>
      <c r="C25" s="37"/>
      <c r="D25" s="37"/>
      <c r="E25" s="37"/>
      <c r="F25" s="37"/>
      <c r="G25" s="37"/>
      <c r="H25" s="37"/>
    </row>
    <row r="26" spans="1:10" x14ac:dyDescent="0.2">
      <c r="A26" s="70">
        <v>2016</v>
      </c>
      <c r="B26" s="54" t="s">
        <v>46</v>
      </c>
      <c r="C26" s="54" t="s">
        <v>35</v>
      </c>
      <c r="D26" s="54" t="s">
        <v>47</v>
      </c>
      <c r="E26" s="56" t="s">
        <v>36</v>
      </c>
      <c r="F26" s="54" t="s">
        <v>48</v>
      </c>
      <c r="G26" s="25" t="s">
        <v>8</v>
      </c>
      <c r="H26" s="40" t="s">
        <v>12</v>
      </c>
    </row>
    <row r="27" spans="1:10" x14ac:dyDescent="0.2">
      <c r="A27" s="70" t="s">
        <v>9</v>
      </c>
      <c r="B27" s="26">
        <v>545</v>
      </c>
      <c r="C27" s="26">
        <v>3495</v>
      </c>
      <c r="D27" s="26">
        <v>5001</v>
      </c>
      <c r="E27" s="26">
        <v>1051</v>
      </c>
      <c r="F27" s="26">
        <v>5049</v>
      </c>
      <c r="G27" s="16">
        <v>13082</v>
      </c>
      <c r="H27" s="35">
        <v>344.0566</v>
      </c>
      <c r="J27" s="41">
        <f>G27/SUM($B$27:$F$28)</f>
        <v>0.73378954453668388</v>
      </c>
    </row>
    <row r="28" spans="1:10" x14ac:dyDescent="0.2">
      <c r="A28" s="70" t="s">
        <v>7</v>
      </c>
      <c r="B28" s="35">
        <v>2618</v>
      </c>
      <c r="C28" s="35"/>
      <c r="D28" s="35"/>
      <c r="E28" s="35">
        <v>69</v>
      </c>
      <c r="F28" s="26"/>
      <c r="G28" s="16">
        <v>4746</v>
      </c>
      <c r="H28" s="35">
        <v>79.258200000000002</v>
      </c>
      <c r="J28" s="41">
        <f>G28/SUM($B$27:$F$28)</f>
        <v>0.26621045546331612</v>
      </c>
    </row>
    <row r="29" spans="1:10" x14ac:dyDescent="0.2">
      <c r="A29" s="70" t="s">
        <v>2</v>
      </c>
      <c r="B29" s="26">
        <v>5</v>
      </c>
      <c r="C29" s="26">
        <v>354</v>
      </c>
      <c r="D29" s="26">
        <v>186</v>
      </c>
      <c r="E29" s="26">
        <v>242</v>
      </c>
      <c r="F29" s="26">
        <v>201</v>
      </c>
      <c r="G29" s="35">
        <v>988</v>
      </c>
      <c r="H29" s="35">
        <v>128.934</v>
      </c>
    </row>
    <row r="30" spans="1:10" x14ac:dyDescent="0.2">
      <c r="A30" s="70" t="s">
        <v>6</v>
      </c>
      <c r="B30" s="26">
        <v>0</v>
      </c>
      <c r="C30" s="26">
        <v>68</v>
      </c>
      <c r="D30" s="26">
        <v>51</v>
      </c>
      <c r="E30" s="26">
        <v>45</v>
      </c>
      <c r="F30" s="26">
        <v>69</v>
      </c>
      <c r="G30" s="35">
        <v>233</v>
      </c>
      <c r="H30" s="22">
        <v>141.57080000000002</v>
      </c>
    </row>
    <row r="31" spans="1:10" x14ac:dyDescent="0.2">
      <c r="A31" s="70" t="s">
        <v>1</v>
      </c>
      <c r="B31" s="26">
        <v>107</v>
      </c>
      <c r="C31" s="26">
        <v>654</v>
      </c>
      <c r="D31" s="26">
        <v>479</v>
      </c>
      <c r="E31" s="26">
        <v>435</v>
      </c>
      <c r="F31" s="26">
        <v>497</v>
      </c>
      <c r="G31" s="35">
        <v>2172</v>
      </c>
      <c r="H31" s="22">
        <v>162.9</v>
      </c>
    </row>
    <row r="32" spans="1:10" x14ac:dyDescent="0.2">
      <c r="A32" s="70" t="s">
        <v>3</v>
      </c>
      <c r="B32" s="26">
        <v>21</v>
      </c>
      <c r="C32" s="26">
        <v>834</v>
      </c>
      <c r="D32" s="26">
        <v>493</v>
      </c>
      <c r="E32" s="26">
        <v>332</v>
      </c>
      <c r="F32" s="26">
        <v>609</v>
      </c>
      <c r="G32" s="35">
        <v>2289</v>
      </c>
      <c r="H32" s="22">
        <v>420.71820000000002</v>
      </c>
    </row>
    <row r="33" spans="1:10" x14ac:dyDescent="0.2">
      <c r="A33" s="70" t="s">
        <v>13</v>
      </c>
      <c r="B33" s="28"/>
      <c r="C33" s="28"/>
      <c r="D33" s="28"/>
      <c r="E33" s="28"/>
      <c r="F33" s="28"/>
      <c r="G33" s="35"/>
      <c r="H33" s="22">
        <v>552.24879999999996</v>
      </c>
    </row>
    <row r="34" spans="1:10" x14ac:dyDescent="0.2">
      <c r="A34" s="37"/>
      <c r="B34" s="27"/>
      <c r="C34" s="27"/>
      <c r="D34" s="27"/>
      <c r="E34" s="27"/>
      <c r="F34" s="27"/>
      <c r="G34" s="27"/>
      <c r="H34" s="27"/>
    </row>
    <row r="35" spans="1:10" x14ac:dyDescent="0.2">
      <c r="A35" s="37" t="s">
        <v>45</v>
      </c>
      <c r="B35" s="37">
        <v>851</v>
      </c>
      <c r="C35" s="37"/>
      <c r="D35" s="37"/>
      <c r="E35" s="37"/>
      <c r="F35" s="37"/>
      <c r="G35" s="37"/>
      <c r="H35" s="37"/>
    </row>
    <row r="36" spans="1:10" x14ac:dyDescent="0.2">
      <c r="A36" s="70" t="s">
        <v>75</v>
      </c>
      <c r="B36" s="55" t="s">
        <v>76</v>
      </c>
      <c r="C36" s="56" t="s">
        <v>35</v>
      </c>
      <c r="D36" s="56" t="s">
        <v>47</v>
      </c>
      <c r="E36" s="56" t="s">
        <v>36</v>
      </c>
      <c r="F36" s="56" t="s">
        <v>49</v>
      </c>
      <c r="G36" s="25" t="s">
        <v>8</v>
      </c>
      <c r="H36" s="40" t="s">
        <v>12</v>
      </c>
    </row>
    <row r="37" spans="1:10" x14ac:dyDescent="0.2">
      <c r="A37" s="70" t="s">
        <v>9</v>
      </c>
      <c r="B37" s="26">
        <v>805</v>
      </c>
      <c r="C37" s="26">
        <v>1625</v>
      </c>
      <c r="D37" s="26">
        <v>4523</v>
      </c>
      <c r="E37" s="26">
        <v>1083</v>
      </c>
      <c r="F37" s="26">
        <v>4049</v>
      </c>
      <c r="G37" s="16">
        <v>13082</v>
      </c>
      <c r="H37" s="35">
        <v>344.0566</v>
      </c>
      <c r="J37" s="41">
        <f>G37/SUM($B$37:$F$38)</f>
        <v>0.76031616877833319</v>
      </c>
    </row>
    <row r="38" spans="1:10" x14ac:dyDescent="0.2">
      <c r="A38" s="70" t="s">
        <v>7</v>
      </c>
      <c r="B38" s="35">
        <v>3864</v>
      </c>
      <c r="C38" s="35">
        <v>850</v>
      </c>
      <c r="D38" s="35">
        <v>23</v>
      </c>
      <c r="E38" s="35">
        <v>64</v>
      </c>
      <c r="F38" s="26">
        <v>320</v>
      </c>
      <c r="G38" s="16">
        <v>4746</v>
      </c>
      <c r="H38" s="35">
        <v>79.258200000000002</v>
      </c>
      <c r="J38" s="41">
        <f>G38/SUM($B$37:$F$38)</f>
        <v>0.27583401139137509</v>
      </c>
    </row>
    <row r="39" spans="1:10" x14ac:dyDescent="0.2">
      <c r="A39" s="70" t="s">
        <v>2</v>
      </c>
      <c r="B39" s="26">
        <v>228</v>
      </c>
      <c r="C39" s="26">
        <v>374</v>
      </c>
      <c r="D39" s="26">
        <v>354</v>
      </c>
      <c r="E39" s="26">
        <v>295</v>
      </c>
      <c r="F39" s="26">
        <v>374</v>
      </c>
      <c r="G39" s="35">
        <v>1625</v>
      </c>
      <c r="H39" s="35">
        <v>212.0625</v>
      </c>
    </row>
    <row r="40" spans="1:10" x14ac:dyDescent="0.2">
      <c r="A40" s="70" t="s">
        <v>6</v>
      </c>
      <c r="B40" s="26">
        <v>40</v>
      </c>
      <c r="C40" s="26">
        <v>45</v>
      </c>
      <c r="D40" s="26">
        <v>72</v>
      </c>
      <c r="E40" s="26">
        <v>46</v>
      </c>
      <c r="F40" s="26">
        <v>79</v>
      </c>
      <c r="G40" s="35">
        <v>282</v>
      </c>
      <c r="H40" s="22">
        <v>171.3432</v>
      </c>
    </row>
    <row r="41" spans="1:10" x14ac:dyDescent="0.2">
      <c r="A41" s="70" t="s">
        <v>1</v>
      </c>
      <c r="B41" s="26">
        <v>607</v>
      </c>
      <c r="C41" s="26">
        <v>711</v>
      </c>
      <c r="D41" s="26">
        <v>992</v>
      </c>
      <c r="E41" s="26">
        <v>493</v>
      </c>
      <c r="F41" s="26">
        <v>987</v>
      </c>
      <c r="G41" s="35">
        <v>3790</v>
      </c>
      <c r="H41" s="22">
        <v>284.25</v>
      </c>
    </row>
    <row r="42" spans="1:10" x14ac:dyDescent="0.2">
      <c r="A42" s="70" t="s">
        <v>3</v>
      </c>
      <c r="B42" s="26">
        <v>381</v>
      </c>
      <c r="C42" s="26">
        <v>407</v>
      </c>
      <c r="D42" s="26">
        <v>552</v>
      </c>
      <c r="E42" s="26">
        <v>204</v>
      </c>
      <c r="F42" s="26">
        <v>596</v>
      </c>
      <c r="G42" s="35">
        <v>2140</v>
      </c>
      <c r="H42" s="22">
        <v>393.33200000000005</v>
      </c>
    </row>
    <row r="43" spans="1:10" x14ac:dyDescent="0.2">
      <c r="A43" s="70" t="s">
        <v>13</v>
      </c>
      <c r="B43" s="28"/>
      <c r="C43" s="28"/>
      <c r="D43" s="28"/>
      <c r="E43" s="28"/>
      <c r="F43" s="28"/>
      <c r="G43" s="35"/>
      <c r="H43" s="22">
        <v>635.37729999999999</v>
      </c>
    </row>
    <row r="44" spans="1:10" x14ac:dyDescent="0.2">
      <c r="A44" s="37"/>
      <c r="B44" s="27"/>
      <c r="C44" s="27"/>
      <c r="D44" s="27"/>
      <c r="E44" s="27"/>
      <c r="F44" s="27"/>
      <c r="G44" s="27"/>
      <c r="H44" s="27"/>
    </row>
    <row r="45" spans="1:10" x14ac:dyDescent="0.2">
      <c r="A45" s="37" t="s">
        <v>45</v>
      </c>
      <c r="B45" s="27">
        <v>851</v>
      </c>
      <c r="C45" s="27"/>
      <c r="D45" s="27"/>
      <c r="E45" s="27"/>
      <c r="F45" s="27"/>
      <c r="G45" s="27"/>
      <c r="H45" s="27"/>
    </row>
    <row r="46" spans="1:10" x14ac:dyDescent="0.2">
      <c r="A46" s="70">
        <v>2010</v>
      </c>
      <c r="B46" s="55" t="s">
        <v>46</v>
      </c>
      <c r="C46" s="55" t="s">
        <v>35</v>
      </c>
      <c r="D46" s="56" t="s">
        <v>47</v>
      </c>
      <c r="E46" s="56" t="s">
        <v>36</v>
      </c>
      <c r="F46" s="55" t="s">
        <v>49</v>
      </c>
      <c r="G46" s="28" t="s">
        <v>8</v>
      </c>
      <c r="H46" s="24" t="s">
        <v>12</v>
      </c>
    </row>
    <row r="47" spans="1:10" x14ac:dyDescent="0.2">
      <c r="A47" s="70" t="s">
        <v>9</v>
      </c>
      <c r="B47" s="35">
        <v>773</v>
      </c>
      <c r="C47" s="26">
        <v>1532</v>
      </c>
      <c r="D47" s="26">
        <v>3940</v>
      </c>
      <c r="E47" s="26">
        <v>1071</v>
      </c>
      <c r="F47" s="26">
        <v>5320</v>
      </c>
      <c r="G47" s="35">
        <v>12636</v>
      </c>
      <c r="H47" s="35">
        <v>332.32679999999999</v>
      </c>
      <c r="J47" s="41">
        <f>G47/SUM($B$17:$F$18)</f>
        <v>0.71273055445879629</v>
      </c>
    </row>
    <row r="48" spans="1:10" x14ac:dyDescent="0.2">
      <c r="A48" s="70" t="s">
        <v>7</v>
      </c>
      <c r="B48" s="35">
        <v>3712</v>
      </c>
      <c r="C48" s="35">
        <v>727</v>
      </c>
      <c r="D48" s="35">
        <v>82</v>
      </c>
      <c r="E48" s="35">
        <v>63</v>
      </c>
      <c r="F48" s="26"/>
      <c r="G48" s="35">
        <v>4584</v>
      </c>
      <c r="H48" s="35">
        <v>76.552800000000005</v>
      </c>
      <c r="J48" s="41">
        <f>G48/SUM($B$17:$F$18)</f>
        <v>0.25855942241525187</v>
      </c>
    </row>
    <row r="49" spans="1:8" x14ac:dyDescent="0.2">
      <c r="A49" s="70" t="s">
        <v>2</v>
      </c>
      <c r="B49" s="26">
        <v>244</v>
      </c>
      <c r="C49" s="26">
        <v>365</v>
      </c>
      <c r="D49" s="26">
        <v>168</v>
      </c>
      <c r="E49" s="26">
        <v>355</v>
      </c>
      <c r="F49" s="26">
        <v>393</v>
      </c>
      <c r="G49" s="35">
        <v>1525</v>
      </c>
      <c r="H49" s="35">
        <v>199.01250000000002</v>
      </c>
    </row>
    <row r="50" spans="1:8" x14ac:dyDescent="0.2">
      <c r="A50" s="70" t="s">
        <v>6</v>
      </c>
      <c r="B50" s="26">
        <v>44</v>
      </c>
      <c r="C50" s="26">
        <v>49</v>
      </c>
      <c r="D50" s="26">
        <v>60</v>
      </c>
      <c r="E50" s="26">
        <v>51</v>
      </c>
      <c r="F50" s="26">
        <v>91</v>
      </c>
      <c r="G50" s="35">
        <v>295</v>
      </c>
      <c r="H50" s="22">
        <v>179.24200000000002</v>
      </c>
    </row>
    <row r="51" spans="1:8" x14ac:dyDescent="0.2">
      <c r="A51" s="70" t="s">
        <v>1</v>
      </c>
      <c r="B51" s="26">
        <v>701</v>
      </c>
      <c r="C51" s="26">
        <v>783</v>
      </c>
      <c r="D51" s="26">
        <v>751</v>
      </c>
      <c r="E51" s="26">
        <v>624</v>
      </c>
      <c r="F51" s="26">
        <v>977</v>
      </c>
      <c r="G51" s="35">
        <v>3836</v>
      </c>
      <c r="H51" s="22">
        <v>287.7</v>
      </c>
    </row>
    <row r="52" spans="1:8" x14ac:dyDescent="0.2">
      <c r="A52" s="70" t="s">
        <v>3</v>
      </c>
      <c r="B52" s="26">
        <v>305</v>
      </c>
      <c r="C52" s="26">
        <v>280</v>
      </c>
      <c r="D52" s="26">
        <v>337</v>
      </c>
      <c r="E52" s="26">
        <v>137</v>
      </c>
      <c r="F52" s="26">
        <v>376</v>
      </c>
      <c r="G52" s="35">
        <v>1435</v>
      </c>
      <c r="H52" s="22">
        <v>263.75300000000004</v>
      </c>
    </row>
    <row r="53" spans="1:8" x14ac:dyDescent="0.2">
      <c r="A53" s="70" t="s">
        <v>13</v>
      </c>
      <c r="B53" s="28"/>
      <c r="C53" s="28"/>
      <c r="D53" s="28"/>
      <c r="E53" s="28"/>
      <c r="F53" s="28"/>
      <c r="G53" s="35"/>
      <c r="H53" s="22">
        <v>607.89210000000003</v>
      </c>
    </row>
    <row r="55" spans="1:8" x14ac:dyDescent="0.2">
      <c r="A55" t="s">
        <v>77</v>
      </c>
    </row>
    <row r="57" spans="1:8" x14ac:dyDescent="0.2">
      <c r="A57" s="69" t="s">
        <v>74</v>
      </c>
      <c r="G57" s="69"/>
      <c r="H57" s="69"/>
    </row>
    <row r="58" spans="1:8" x14ac:dyDescent="0.2">
      <c r="A58" s="58" t="s">
        <v>71</v>
      </c>
    </row>
    <row r="59" spans="1:8" ht="25.5" x14ac:dyDescent="0.2">
      <c r="A59" s="59" t="s">
        <v>72</v>
      </c>
    </row>
    <row r="60" spans="1:8" x14ac:dyDescent="0.2">
      <c r="A60" s="60" t="s">
        <v>73</v>
      </c>
    </row>
    <row r="61" spans="1:8" ht="25.5" x14ac:dyDescent="0.2">
      <c r="A61" s="61" t="s">
        <v>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A21C4-8FFB-42B3-B588-B008A096B5E1}">
  <dimension ref="A1:P43"/>
  <sheetViews>
    <sheetView showGridLines="0" workbookViewId="0">
      <selection activeCell="E17" sqref="E17"/>
    </sheetView>
  </sheetViews>
  <sheetFormatPr defaultRowHeight="12.75" x14ac:dyDescent="0.2"/>
  <cols>
    <col min="1" max="1" width="25.7109375" customWidth="1"/>
    <col min="2" max="10" width="18.5703125" customWidth="1"/>
    <col min="11" max="11" width="21.42578125" customWidth="1"/>
    <col min="12" max="14" width="18.5703125" customWidth="1"/>
  </cols>
  <sheetData>
    <row r="1" spans="1:16" ht="26.25" x14ac:dyDescent="0.4">
      <c r="A1" s="4" t="s">
        <v>79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6" x14ac:dyDescent="0.2">
      <c r="A2" s="19"/>
      <c r="B2" s="19"/>
      <c r="C2" s="19"/>
      <c r="D2" s="19"/>
      <c r="E2" s="19"/>
    </row>
    <row r="3" spans="1:16" ht="15" x14ac:dyDescent="0.25">
      <c r="A3" s="50" t="s">
        <v>69</v>
      </c>
      <c r="B3" s="19"/>
      <c r="C3" s="19"/>
      <c r="D3" s="19"/>
      <c r="E3" s="19"/>
    </row>
    <row r="5" spans="1:16" x14ac:dyDescent="0.2">
      <c r="A5" s="43" t="s">
        <v>55</v>
      </c>
      <c r="B5" s="44">
        <v>1081</v>
      </c>
      <c r="C5" s="44"/>
      <c r="D5" s="44"/>
      <c r="E5" s="44"/>
      <c r="F5" s="44"/>
      <c r="G5" s="44"/>
      <c r="H5" s="43"/>
      <c r="I5" s="44"/>
      <c r="J5" s="44"/>
      <c r="K5" s="44"/>
      <c r="L5" s="44"/>
      <c r="M5" s="43"/>
      <c r="N5" s="45"/>
    </row>
    <row r="6" spans="1:16" x14ac:dyDescent="0.2">
      <c r="A6" s="46">
        <v>2020</v>
      </c>
      <c r="B6" s="2" t="s">
        <v>56</v>
      </c>
      <c r="C6" s="2" t="s">
        <v>57</v>
      </c>
      <c r="D6" s="2" t="s">
        <v>58</v>
      </c>
      <c r="E6" s="2" t="s">
        <v>59</v>
      </c>
      <c r="F6" s="2" t="s">
        <v>60</v>
      </c>
      <c r="G6" s="2" t="s">
        <v>61</v>
      </c>
      <c r="H6" s="2" t="s">
        <v>62</v>
      </c>
      <c r="I6" s="2" t="s">
        <v>63</v>
      </c>
      <c r="J6" s="2" t="s">
        <v>64</v>
      </c>
      <c r="K6" s="2" t="s">
        <v>65</v>
      </c>
      <c r="L6" s="2" t="s">
        <v>66</v>
      </c>
      <c r="M6" s="2" t="s">
        <v>8</v>
      </c>
      <c r="N6" s="6" t="s">
        <v>12</v>
      </c>
    </row>
    <row r="7" spans="1:16" x14ac:dyDescent="0.2">
      <c r="A7" s="46" t="s">
        <v>9</v>
      </c>
      <c r="B7" s="73">
        <f t="shared" ref="B7" ca="1" si="0">INDIRECT("'"&amp;B$16&amp;"'!C7")</f>
        <v>2273.3523298692594</v>
      </c>
      <c r="C7" s="73">
        <f ca="1">INDIRECT("'"&amp;C$16&amp;"'!E7")</f>
        <v>8990.2872398685649</v>
      </c>
      <c r="D7" s="73">
        <f ca="1">INDIRECT("'"&amp;D$16&amp;"'!G7")</f>
        <v>10489.718217562255</v>
      </c>
      <c r="E7" s="73">
        <f ca="1">INDIRECT("'"&amp;E$16&amp;"'!D7")</f>
        <v>4354.1111634109984</v>
      </c>
      <c r="F7" s="73">
        <f ca="1">INDIRECT("'"&amp;F$16&amp;"'!C7")</f>
        <v>792.0980392156863</v>
      </c>
      <c r="G7" s="73">
        <f ca="1">INDIRECT("'"&amp;G$16&amp;"'!E7")</f>
        <v>4949.9978384220485</v>
      </c>
      <c r="H7" s="73">
        <f ca="1">INDIRECT("'"&amp;H$16&amp;"'!D7")</f>
        <v>3161</v>
      </c>
      <c r="I7" s="73">
        <f ca="1">INDIRECT("'"&amp;I$16&amp;"'!D7")</f>
        <v>4097</v>
      </c>
      <c r="J7" s="73">
        <f ca="1">INDIRECT("'"&amp;J$16&amp;"'!D7")</f>
        <v>5444</v>
      </c>
      <c r="K7" s="73">
        <f ca="1">INDIRECT("'"&amp;K$16&amp;"'!D7")</f>
        <v>4272</v>
      </c>
      <c r="L7" s="73">
        <f ca="1">INDIRECT("'"&amp;L$16&amp;"'!G7")</f>
        <v>12909.207343899825</v>
      </c>
      <c r="M7" s="74">
        <f ca="1">SUM(B7:L7)</f>
        <v>61732.772172248639</v>
      </c>
      <c r="N7" s="92">
        <f ca="1">MROUND(M7*Enhedsforbrug!$B$7/1000,0.01)</f>
        <v>1623.57</v>
      </c>
      <c r="P7" s="41">
        <f ca="1">M7/SUM($B$7:$L$8)</f>
        <v>0.7126109290451077</v>
      </c>
    </row>
    <row r="8" spans="1:16" x14ac:dyDescent="0.2">
      <c r="A8" s="46" t="s">
        <v>7</v>
      </c>
      <c r="B8" s="73">
        <f t="shared" ref="B8:F8" ca="1" si="1">INDIRECT("'"&amp;B$16&amp;"'!C8")</f>
        <v>444.64767013074089</v>
      </c>
      <c r="C8" s="73">
        <f ca="1">INDIRECT("'"&amp;C$16&amp;"'!E8")</f>
        <v>768.71276013143483</v>
      </c>
      <c r="D8" s="73">
        <f ca="1">INDIRECT("'"&amp;D$16&amp;"'!G8")</f>
        <v>2620.2817824377457</v>
      </c>
      <c r="E8" s="73">
        <f ca="1">INDIRECT("'"&amp;E$16&amp;"'!D8")</f>
        <v>8990.8888365890016</v>
      </c>
      <c r="F8" s="73">
        <f t="shared" ca="1" si="1"/>
        <v>628.9019607843137</v>
      </c>
      <c r="G8" s="73">
        <f ca="1">INDIRECT("'"&amp;G$16&amp;"'!E8")</f>
        <v>2111.0021615779519</v>
      </c>
      <c r="H8" s="73">
        <f ca="1">INDIRECT("'"&amp;H$16&amp;"'!D8")</f>
        <v>134</v>
      </c>
      <c r="I8" s="73">
        <f ca="1">INDIRECT("'"&amp;I$16&amp;"'!D8")</f>
        <v>0</v>
      </c>
      <c r="J8" s="73">
        <f ca="1">INDIRECT("'"&amp;J$16&amp;"'!D8")</f>
        <v>2938</v>
      </c>
      <c r="K8" s="73">
        <f ca="1">INDIRECT("'"&amp;K$16&amp;"'!D8")</f>
        <v>1576</v>
      </c>
      <c r="L8" s="73">
        <f ca="1">INDIRECT("'"&amp;L$16&amp;"'!G8")</f>
        <v>4683.792656100175</v>
      </c>
      <c r="M8" s="74">
        <f t="shared" ref="M8:M12" ca="1" si="2">SUM(B8:L8)</f>
        <v>24896.227827751361</v>
      </c>
      <c r="N8" s="92">
        <f ca="1">MROUND(M8*Enhedsforbrug!$B$8/1000,0.01)</f>
        <v>415.77</v>
      </c>
      <c r="P8" s="41">
        <f ca="1">M8/SUM($B$7:$L$8)</f>
        <v>0.28738907095489225</v>
      </c>
    </row>
    <row r="9" spans="1:16" x14ac:dyDescent="0.2">
      <c r="A9" s="46" t="s">
        <v>2</v>
      </c>
      <c r="B9" s="73">
        <f t="shared" ref="B9:F9" ca="1" si="3">INDIRECT("'"&amp;B$16&amp;"'!C9")</f>
        <v>529</v>
      </c>
      <c r="C9" s="73">
        <f ca="1">INDIRECT("'"&amp;C$16&amp;"'!E9")</f>
        <v>708</v>
      </c>
      <c r="D9" s="73">
        <f ca="1">INDIRECT("'"&amp;D$16&amp;"'!G9")</f>
        <v>840</v>
      </c>
      <c r="E9" s="73">
        <f ca="1">INDIRECT("'"&amp;E$16&amp;"'!D9")</f>
        <v>1002</v>
      </c>
      <c r="F9" s="73">
        <f t="shared" ca="1" si="3"/>
        <v>141</v>
      </c>
      <c r="G9" s="73">
        <f ca="1">INDIRECT("'"&amp;G$16&amp;"'!E9")</f>
        <v>752</v>
      </c>
      <c r="H9" s="73">
        <f ca="1">INDIRECT("'"&amp;H$16&amp;"'!D9")</f>
        <v>339</v>
      </c>
      <c r="I9" s="73">
        <f ca="1">INDIRECT("'"&amp;I$16&amp;"'!D9")</f>
        <v>643</v>
      </c>
      <c r="J9" s="73">
        <f ca="1">INDIRECT("'"&amp;J$16&amp;"'!D9")</f>
        <v>757</v>
      </c>
      <c r="K9" s="73">
        <f ca="1">INDIRECT("'"&amp;K$16&amp;"'!D9")</f>
        <v>713</v>
      </c>
      <c r="L9" s="73">
        <f ca="1">INDIRECT("'"&amp;L$16&amp;"'!G9")</f>
        <v>830</v>
      </c>
      <c r="M9" s="74">
        <f t="shared" ca="1" si="2"/>
        <v>7254</v>
      </c>
      <c r="N9" s="92">
        <f ca="1">MROUND(M9*Enhedsforbrug!$B$9/1000,0.01)</f>
        <v>946.65</v>
      </c>
    </row>
    <row r="10" spans="1:16" x14ac:dyDescent="0.2">
      <c r="A10" s="46" t="s">
        <v>6</v>
      </c>
      <c r="B10" s="73">
        <f t="shared" ref="B10:F10" ca="1" si="4">INDIRECT("'"&amp;B$16&amp;"'!C10")</f>
        <v>196</v>
      </c>
      <c r="C10" s="73">
        <f ca="1">INDIRECT("'"&amp;C$16&amp;"'!E10")</f>
        <v>109</v>
      </c>
      <c r="D10" s="73">
        <f ca="1">INDIRECT("'"&amp;D$16&amp;"'!G10")</f>
        <v>192</v>
      </c>
      <c r="E10" s="73">
        <f ca="1">INDIRECT("'"&amp;E$16&amp;"'!D10")</f>
        <v>192</v>
      </c>
      <c r="F10" s="73">
        <f t="shared" ca="1" si="4"/>
        <v>15</v>
      </c>
      <c r="G10" s="73">
        <f ca="1">INDIRECT("'"&amp;G$16&amp;"'!E10")</f>
        <v>147</v>
      </c>
      <c r="H10" s="73">
        <f ca="1">INDIRECT("'"&amp;H$16&amp;"'!D10")</f>
        <v>168</v>
      </c>
      <c r="I10" s="73">
        <f ca="1">INDIRECT("'"&amp;I$16&amp;"'!D10")</f>
        <v>140</v>
      </c>
      <c r="J10" s="73">
        <f ca="1">INDIRECT("'"&amp;J$16&amp;"'!D10")</f>
        <v>155</v>
      </c>
      <c r="K10" s="73">
        <f ca="1">INDIRECT("'"&amp;K$16&amp;"'!D10")</f>
        <v>126</v>
      </c>
      <c r="L10" s="73">
        <f ca="1">INDIRECT("'"&amp;L$16&amp;"'!G10")</f>
        <v>208</v>
      </c>
      <c r="M10" s="74">
        <f t="shared" ca="1" si="2"/>
        <v>1648</v>
      </c>
      <c r="N10" s="93">
        <f ca="1">MROUND(M10*Enhedsforbrug!$B$10/1000,0.01)</f>
        <v>1001.32</v>
      </c>
    </row>
    <row r="11" spans="1:16" x14ac:dyDescent="0.2">
      <c r="A11" s="46" t="s">
        <v>1</v>
      </c>
      <c r="B11" s="73">
        <f t="shared" ref="B11:F11" ca="1" si="5">INDIRECT("'"&amp;B$16&amp;"'!C11")</f>
        <v>1147</v>
      </c>
      <c r="C11" s="73">
        <f ca="1">INDIRECT("'"&amp;C$16&amp;"'!E11")</f>
        <v>1816</v>
      </c>
      <c r="D11" s="73">
        <f ca="1">INDIRECT("'"&amp;D$16&amp;"'!G11")</f>
        <v>2810</v>
      </c>
      <c r="E11" s="73">
        <f ca="1">INDIRECT("'"&amp;E$16&amp;"'!D11")</f>
        <v>2143</v>
      </c>
      <c r="F11" s="73">
        <f t="shared" ca="1" si="5"/>
        <v>393</v>
      </c>
      <c r="G11" s="73">
        <f ca="1">INDIRECT("'"&amp;G$16&amp;"'!E11")</f>
        <v>1324</v>
      </c>
      <c r="H11" s="73">
        <f ca="1">INDIRECT("'"&amp;H$16&amp;"'!D11")</f>
        <v>1466</v>
      </c>
      <c r="I11" s="73">
        <f ca="1">INDIRECT("'"&amp;I$16&amp;"'!D11")</f>
        <v>994</v>
      </c>
      <c r="J11" s="73">
        <f ca="1">INDIRECT("'"&amp;J$16&amp;"'!D11")</f>
        <v>2008</v>
      </c>
      <c r="K11" s="73">
        <f ca="1">INDIRECT("'"&amp;K$16&amp;"'!D11")</f>
        <v>1462</v>
      </c>
      <c r="L11" s="73">
        <f ca="1">INDIRECT("'"&amp;L$16&amp;"'!G11")</f>
        <v>1902</v>
      </c>
      <c r="M11" s="74">
        <f ca="1">SUM(B11:L11)</f>
        <v>17465</v>
      </c>
      <c r="N11" s="93">
        <f ca="1">MROUND(M11*Enhedsforbrug!$B$11/1000,0.01)</f>
        <v>1309.8800000000001</v>
      </c>
    </row>
    <row r="12" spans="1:16" x14ac:dyDescent="0.2">
      <c r="A12" s="46" t="s">
        <v>3</v>
      </c>
      <c r="B12" s="73">
        <f t="shared" ref="B12:F12" ca="1" si="6">INDIRECT("'"&amp;B$16&amp;"'!C12")</f>
        <v>1690</v>
      </c>
      <c r="C12" s="73">
        <f ca="1">INDIRECT("'"&amp;C$16&amp;"'!E12")</f>
        <v>1326</v>
      </c>
      <c r="D12" s="73">
        <f ca="1">INDIRECT("'"&amp;D$16&amp;"'!G12")</f>
        <v>2648</v>
      </c>
      <c r="E12" s="73">
        <f ca="1">INDIRECT("'"&amp;E$16&amp;"'!D12")</f>
        <v>2138</v>
      </c>
      <c r="F12" s="73">
        <f t="shared" ca="1" si="6"/>
        <v>97</v>
      </c>
      <c r="G12" s="73">
        <f ca="1">INDIRECT("'"&amp;G$16&amp;"'!E12")</f>
        <v>1986</v>
      </c>
      <c r="H12" s="73">
        <f ca="1">INDIRECT("'"&amp;H$16&amp;"'!D12")</f>
        <v>1608</v>
      </c>
      <c r="I12" s="73">
        <f ca="1">INDIRECT("'"&amp;I$16&amp;"'!D12")</f>
        <v>1462</v>
      </c>
      <c r="J12" s="73">
        <f ca="1">INDIRECT("'"&amp;J$16&amp;"'!D12")</f>
        <v>2158</v>
      </c>
      <c r="K12" s="73">
        <f ca="1">INDIRECT("'"&amp;K$16&amp;"'!D12")</f>
        <v>2044</v>
      </c>
      <c r="L12" s="73">
        <f ca="1">INDIRECT("'"&amp;L$16&amp;"'!G12")</f>
        <v>2204</v>
      </c>
      <c r="M12" s="74">
        <f t="shared" ca="1" si="2"/>
        <v>19361</v>
      </c>
      <c r="N12" s="93">
        <f ca="1">MROUND(M12*Enhedsforbrug!$B$12/1000,0.01)</f>
        <v>3558.55</v>
      </c>
    </row>
    <row r="13" spans="1:16" x14ac:dyDescent="0.2">
      <c r="A13" s="46" t="s">
        <v>13</v>
      </c>
      <c r="B13" s="73">
        <f t="shared" ref="B13:F13" ca="1" si="7">INDIRECT("'"&amp;B$16&amp;"'!C13")</f>
        <v>0</v>
      </c>
      <c r="C13" s="73">
        <f ca="1">INDIRECT("'"&amp;C$16&amp;"'!E13")</f>
        <v>0</v>
      </c>
      <c r="D13" s="73">
        <f ca="1">INDIRECT("'"&amp;D$16&amp;"'!G13")</f>
        <v>0</v>
      </c>
      <c r="E13" s="73">
        <f t="shared" ca="1" si="7"/>
        <v>0</v>
      </c>
      <c r="F13" s="73">
        <f t="shared" ca="1" si="7"/>
        <v>0</v>
      </c>
      <c r="G13" s="73">
        <f ca="1">INDIRECT("'"&amp;G$16&amp;"'!E13")</f>
        <v>0</v>
      </c>
      <c r="H13" s="73">
        <f ca="1">INDIRECT("'"&amp;H$16&amp;"'!D13")</f>
        <v>0</v>
      </c>
      <c r="I13" s="73">
        <f ca="1">INDIRECT("'"&amp;I$16&amp;"'!D13")</f>
        <v>0</v>
      </c>
      <c r="J13" s="73">
        <f ca="1">INDIRECT("'"&amp;J$16&amp;"'!D13")</f>
        <v>0</v>
      </c>
      <c r="K13" s="73">
        <f ca="1">INDIRECT("'"&amp;K$16&amp;"'!D13")</f>
        <v>0</v>
      </c>
      <c r="L13" s="73">
        <f ca="1">INDIRECT("'"&amp;L$16&amp;"'!G13")</f>
        <v>0</v>
      </c>
      <c r="M13" s="75"/>
      <c r="N13" s="93">
        <f ca="1">N7+N8+N9</f>
        <v>2985.99</v>
      </c>
    </row>
    <row r="15" spans="1:16" x14ac:dyDescent="0.2">
      <c r="A15" s="43" t="s">
        <v>55</v>
      </c>
      <c r="B15" s="44">
        <v>1081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3"/>
      <c r="N15" s="45"/>
    </row>
    <row r="16" spans="1:16" x14ac:dyDescent="0.2">
      <c r="A16" s="46">
        <v>2018</v>
      </c>
      <c r="B16" s="2" t="s">
        <v>56</v>
      </c>
      <c r="C16" s="2" t="s">
        <v>57</v>
      </c>
      <c r="D16" s="2" t="s">
        <v>58</v>
      </c>
      <c r="E16" s="2" t="s">
        <v>59</v>
      </c>
      <c r="F16" s="2" t="s">
        <v>60</v>
      </c>
      <c r="G16" s="2" t="s">
        <v>61</v>
      </c>
      <c r="H16" s="2" t="s">
        <v>62</v>
      </c>
      <c r="I16" s="2" t="s">
        <v>63</v>
      </c>
      <c r="J16" s="2" t="s">
        <v>64</v>
      </c>
      <c r="K16" s="2" t="s">
        <v>65</v>
      </c>
      <c r="L16" s="2" t="s">
        <v>66</v>
      </c>
      <c r="M16" s="2" t="s">
        <v>8</v>
      </c>
      <c r="N16" s="6" t="s">
        <v>12</v>
      </c>
    </row>
    <row r="17" spans="1:16" x14ac:dyDescent="0.2">
      <c r="A17" s="46" t="s">
        <v>9</v>
      </c>
      <c r="B17" s="73">
        <f ca="1">INDIRECT("'"&amp;B$16&amp;"'!C17")</f>
        <v>2273</v>
      </c>
      <c r="C17" s="73">
        <f ca="1">INDIRECT("'"&amp;C$16&amp;"'!E17")</f>
        <v>9810</v>
      </c>
      <c r="D17" s="73">
        <f ca="1">INDIRECT("'"&amp;D$16&amp;"'!G17")</f>
        <v>10513</v>
      </c>
      <c r="E17" s="73">
        <f ca="1">INDIRECT("'"&amp;E$16&amp;"'!D17")</f>
        <v>4354</v>
      </c>
      <c r="F17" s="73">
        <f ca="1">INDIRECT("'"&amp;F$16&amp;"'!C17")</f>
        <v>597</v>
      </c>
      <c r="G17" s="73">
        <f t="shared" ref="G17" ca="1" si="8">INDIRECT("'"&amp;G$16&amp;"'!E17")</f>
        <v>4744</v>
      </c>
      <c r="H17" s="73">
        <f ca="1">INDIRECT("'"&amp;H$16&amp;"'!D17")</f>
        <v>3166</v>
      </c>
      <c r="I17" s="73">
        <f t="shared" ref="I17:K17" ca="1" si="9">INDIRECT("'"&amp;I$16&amp;"'!D17")</f>
        <v>4167</v>
      </c>
      <c r="J17" s="73">
        <f t="shared" ca="1" si="9"/>
        <v>5444</v>
      </c>
      <c r="K17" s="73">
        <f t="shared" ca="1" si="9"/>
        <v>4288</v>
      </c>
      <c r="L17" s="73">
        <f ca="1">INDIRECT("'"&amp;L$16&amp;"'!G17")</f>
        <v>13009</v>
      </c>
      <c r="M17" s="74">
        <f ca="1">SUM(B17:L17)</f>
        <v>62365</v>
      </c>
      <c r="N17" s="92">
        <f ca="1">MROUND(M17*Enhedsforbrug!$B$7/1000,0.01)</f>
        <v>1640.2</v>
      </c>
      <c r="P17" s="41">
        <f ca="1">M17/SUM($B$17:$L$18)</f>
        <v>0.7035286420143041</v>
      </c>
    </row>
    <row r="18" spans="1:16" x14ac:dyDescent="0.2">
      <c r="A18" s="46" t="s">
        <v>7</v>
      </c>
      <c r="B18" s="73">
        <f ca="1">INDIRECT("'"&amp;B$16&amp;"'!C18")</f>
        <v>445</v>
      </c>
      <c r="C18" s="73">
        <f ca="1">INDIRECT("'"&amp;C$16&amp;"'!E18")</f>
        <v>838</v>
      </c>
      <c r="D18" s="73">
        <f ca="1">INDIRECT("'"&amp;D$16&amp;"'!G18")</f>
        <v>2626</v>
      </c>
      <c r="E18" s="73">
        <f ca="1">INDIRECT("'"&amp;E$16&amp;"'!D18")</f>
        <v>8991</v>
      </c>
      <c r="F18" s="73">
        <f ca="1">INDIRECT("'"&amp;F$16&amp;"'!C18")</f>
        <v>474</v>
      </c>
      <c r="G18" s="73">
        <f t="shared" ref="G18" ca="1" si="10">INDIRECT("'"&amp;G$16&amp;"'!E18")</f>
        <v>1855</v>
      </c>
      <c r="H18" s="73">
        <f ca="1">INDIRECT("'"&amp;H$16&amp;"'!D18")</f>
        <v>135</v>
      </c>
      <c r="I18" s="73">
        <f t="shared" ref="I18:K18" ca="1" si="11">INDIRECT("'"&amp;I$16&amp;"'!D18")</f>
        <v>0</v>
      </c>
      <c r="J18" s="73">
        <f t="shared" ca="1" si="11"/>
        <v>2938</v>
      </c>
      <c r="K18" s="73">
        <f t="shared" ca="1" si="11"/>
        <v>3259</v>
      </c>
      <c r="L18" s="73">
        <f ca="1">INDIRECT("'"&amp;L$16&amp;"'!G18")</f>
        <v>4720</v>
      </c>
      <c r="M18" s="74">
        <f t="shared" ref="M18:M22" ca="1" si="12">SUM(B18:L18)</f>
        <v>26281</v>
      </c>
      <c r="N18" s="92">
        <f ca="1">MROUND(M18*Enhedsforbrug!$B$8/1000,0.01)</f>
        <v>438.89</v>
      </c>
      <c r="P18" s="41">
        <f ca="1">M18/SUM($B$17:$L$18)</f>
        <v>0.2964713579856959</v>
      </c>
    </row>
    <row r="19" spans="1:16" x14ac:dyDescent="0.2">
      <c r="A19" s="46" t="s">
        <v>2</v>
      </c>
      <c r="B19" s="73">
        <f ca="1">INDIRECT("'"&amp;B$16&amp;"'!C19")</f>
        <v>529</v>
      </c>
      <c r="C19" s="73">
        <f ca="1">INDIRECT("'"&amp;C$16&amp;"'!E19")</f>
        <v>558</v>
      </c>
      <c r="D19" s="73">
        <f ca="1">INDIRECT("'"&amp;D$16&amp;"'!G19")</f>
        <v>854</v>
      </c>
      <c r="E19" s="73">
        <f ca="1">INDIRECT("'"&amp;E$16&amp;"'!D19")</f>
        <v>1002</v>
      </c>
      <c r="F19" s="73">
        <f ca="1">INDIRECT("'"&amp;F$16&amp;"'!C19")</f>
        <v>45</v>
      </c>
      <c r="G19" s="73">
        <f t="shared" ref="G19" ca="1" si="13">INDIRECT("'"&amp;G$16&amp;"'!E19")</f>
        <v>647</v>
      </c>
      <c r="H19" s="73">
        <f ca="1">INDIRECT("'"&amp;H$16&amp;"'!D19")</f>
        <v>365</v>
      </c>
      <c r="I19" s="73">
        <f t="shared" ref="I19:K19" ca="1" si="14">INDIRECT("'"&amp;I$16&amp;"'!D19")</f>
        <v>705</v>
      </c>
      <c r="J19" s="73">
        <f t="shared" ca="1" si="14"/>
        <v>757</v>
      </c>
      <c r="K19" s="73">
        <f t="shared" ca="1" si="14"/>
        <v>744</v>
      </c>
      <c r="L19" s="73">
        <f ca="1">INDIRECT("'"&amp;L$16&amp;"'!G19")</f>
        <v>885</v>
      </c>
      <c r="M19" s="74">
        <f t="shared" ca="1" si="12"/>
        <v>7091</v>
      </c>
      <c r="N19" s="92">
        <f ca="1">MROUND(M19*Enhedsforbrug!$B$9/1000,0.01)</f>
        <v>925.38</v>
      </c>
    </row>
    <row r="20" spans="1:16" x14ac:dyDescent="0.2">
      <c r="A20" s="46" t="s">
        <v>6</v>
      </c>
      <c r="B20" s="73">
        <f ca="1">INDIRECT("'"&amp;B$16&amp;"'!C20")</f>
        <v>196</v>
      </c>
      <c r="C20" s="73">
        <f ca="1">INDIRECT("'"&amp;C$16&amp;"'!E20")</f>
        <v>128</v>
      </c>
      <c r="D20" s="73">
        <f ca="1">INDIRECT("'"&amp;D$16&amp;"'!G20")</f>
        <v>194</v>
      </c>
      <c r="E20" s="73">
        <f ca="1">INDIRECT("'"&amp;E$16&amp;"'!D20")</f>
        <v>192</v>
      </c>
      <c r="F20" s="73">
        <f ca="1">INDIRECT("'"&amp;F$16&amp;"'!C20")</f>
        <v>2</v>
      </c>
      <c r="G20" s="73">
        <f t="shared" ref="G20" ca="1" si="15">INDIRECT("'"&amp;G$16&amp;"'!E20")</f>
        <v>124</v>
      </c>
      <c r="H20" s="73">
        <f ca="1">INDIRECT("'"&amp;H$16&amp;"'!D20")</f>
        <v>175</v>
      </c>
      <c r="I20" s="73">
        <f t="shared" ref="I20:K20" ca="1" si="16">INDIRECT("'"&amp;I$16&amp;"'!D20")</f>
        <v>148</v>
      </c>
      <c r="J20" s="73">
        <f t="shared" ca="1" si="16"/>
        <v>155</v>
      </c>
      <c r="K20" s="73">
        <f t="shared" ca="1" si="16"/>
        <v>126</v>
      </c>
      <c r="L20" s="73">
        <f ca="1">INDIRECT("'"&amp;L$16&amp;"'!G20")</f>
        <v>211</v>
      </c>
      <c r="M20" s="74">
        <f t="shared" ca="1" si="12"/>
        <v>1651</v>
      </c>
      <c r="N20" s="93">
        <f ca="1">MROUND(M20*Enhedsforbrug!$B$10/1000,0.01)</f>
        <v>1003.15</v>
      </c>
    </row>
    <row r="21" spans="1:16" x14ac:dyDescent="0.2">
      <c r="A21" s="46" t="s">
        <v>1</v>
      </c>
      <c r="B21" s="73">
        <f ca="1">INDIRECT("'"&amp;B$16&amp;"'!C21")</f>
        <v>1147</v>
      </c>
      <c r="C21" s="73">
        <f ca="1">INDIRECT("'"&amp;C$16&amp;"'!E21")</f>
        <v>2771</v>
      </c>
      <c r="D21" s="73">
        <f ca="1">INDIRECT("'"&amp;D$16&amp;"'!G21")</f>
        <v>2844</v>
      </c>
      <c r="E21" s="73">
        <f ca="1">INDIRECT("'"&amp;E$16&amp;"'!D21")</f>
        <v>2143</v>
      </c>
      <c r="F21" s="73">
        <f ca="1">INDIRECT("'"&amp;F$16&amp;"'!C21")</f>
        <v>330</v>
      </c>
      <c r="G21" s="73">
        <f t="shared" ref="G21" ca="1" si="17">INDIRECT("'"&amp;G$16&amp;"'!E21")</f>
        <v>1224</v>
      </c>
      <c r="H21" s="73">
        <f ca="1">INDIRECT("'"&amp;H$16&amp;"'!D21")</f>
        <v>1520</v>
      </c>
      <c r="I21" s="73">
        <f t="shared" ref="I21:K21" ca="1" si="18">INDIRECT("'"&amp;I$16&amp;"'!D21")</f>
        <v>1085</v>
      </c>
      <c r="J21" s="73">
        <f t="shared" ca="1" si="18"/>
        <v>2008</v>
      </c>
      <c r="K21" s="73">
        <f t="shared" ca="1" si="18"/>
        <v>1527</v>
      </c>
      <c r="L21" s="73">
        <f ca="1">INDIRECT("'"&amp;L$16&amp;"'!G21")</f>
        <v>2005</v>
      </c>
      <c r="M21" s="74">
        <f t="shared" ca="1" si="12"/>
        <v>18604</v>
      </c>
      <c r="N21" s="93">
        <f ca="1">MROUND(M21*Enhedsforbrug!$B$11/1000,0.01)</f>
        <v>1395.3</v>
      </c>
    </row>
    <row r="22" spans="1:16" x14ac:dyDescent="0.2">
      <c r="A22" s="46" t="s">
        <v>3</v>
      </c>
      <c r="B22" s="73">
        <f ca="1">INDIRECT("'"&amp;B$16&amp;"'!C22")</f>
        <v>1690</v>
      </c>
      <c r="C22" s="73">
        <f ca="1">INDIRECT("'"&amp;C$16&amp;"'!E22")</f>
        <v>1231</v>
      </c>
      <c r="D22" s="73">
        <f ca="1">INDIRECT("'"&amp;D$16&amp;"'!G22")</f>
        <v>2680</v>
      </c>
      <c r="E22" s="73">
        <f ca="1">INDIRECT("'"&amp;E$16&amp;"'!D22")</f>
        <v>2138</v>
      </c>
      <c r="F22" s="73">
        <f ca="1">INDIRECT("'"&amp;F$16&amp;"'!C22")</f>
        <v>31</v>
      </c>
      <c r="G22" s="73">
        <f t="shared" ref="G22" ca="1" si="19">INDIRECT("'"&amp;G$16&amp;"'!E22")</f>
        <v>1672</v>
      </c>
      <c r="H22" s="73">
        <f ca="1">INDIRECT("'"&amp;H$16&amp;"'!D22")</f>
        <v>1625</v>
      </c>
      <c r="I22" s="73">
        <f t="shared" ref="I22:K22" ca="1" si="20">INDIRECT("'"&amp;I$16&amp;"'!D22")</f>
        <v>1492</v>
      </c>
      <c r="J22" s="73">
        <f t="shared" ca="1" si="20"/>
        <v>2158</v>
      </c>
      <c r="K22" s="73">
        <f t="shared" ca="1" si="20"/>
        <v>2050</v>
      </c>
      <c r="L22" s="73">
        <f ca="1">INDIRECT("'"&amp;L$16&amp;"'!G22")</f>
        <v>2264</v>
      </c>
      <c r="M22" s="74">
        <f t="shared" ca="1" si="12"/>
        <v>19031</v>
      </c>
      <c r="N22" s="93">
        <f ca="1">MROUND(M22*Enhedsforbrug!$B$12/1000,0.01)</f>
        <v>3497.9</v>
      </c>
    </row>
    <row r="23" spans="1:16" x14ac:dyDescent="0.2">
      <c r="A23" s="46" t="s">
        <v>13</v>
      </c>
      <c r="B23" s="73">
        <f ca="1">INDIRECT("'"&amp;B$16&amp;"'!C23")</f>
        <v>0</v>
      </c>
      <c r="C23" s="73">
        <f ca="1">INDIRECT("'"&amp;C$16&amp;"'!E23")</f>
        <v>0</v>
      </c>
      <c r="D23" s="73">
        <f ca="1">INDIRECT("'"&amp;D$16&amp;"'!G23")</f>
        <v>0</v>
      </c>
      <c r="E23" s="73">
        <f ca="1">INDIRECT("'"&amp;E$16&amp;"'!D23")</f>
        <v>0</v>
      </c>
      <c r="F23" s="73">
        <f ca="1">INDIRECT("'"&amp;F$16&amp;"'!C23")</f>
        <v>0</v>
      </c>
      <c r="G23" s="73">
        <f t="shared" ref="G23" ca="1" si="21">INDIRECT("'"&amp;G$16&amp;"'!E23")</f>
        <v>0</v>
      </c>
      <c r="H23" s="73">
        <f ca="1">INDIRECT("'"&amp;H$16&amp;"'!D23")</f>
        <v>0</v>
      </c>
      <c r="I23" s="73">
        <f t="shared" ref="I23:K23" ca="1" si="22">INDIRECT("'"&amp;I$16&amp;"'!D23")</f>
        <v>0</v>
      </c>
      <c r="J23" s="73">
        <f t="shared" ca="1" si="22"/>
        <v>0</v>
      </c>
      <c r="K23" s="73">
        <f t="shared" ca="1" si="22"/>
        <v>0</v>
      </c>
      <c r="L23" s="73">
        <f ca="1">INDIRECT("'"&amp;L$16&amp;"'!G23")</f>
        <v>0</v>
      </c>
      <c r="M23" s="75"/>
      <c r="N23" s="93">
        <f ca="1">N17+N18+N19</f>
        <v>3004.4700000000003</v>
      </c>
    </row>
    <row r="25" spans="1:16" x14ac:dyDescent="0.2">
      <c r="A25" s="43" t="s">
        <v>55</v>
      </c>
      <c r="B25" s="44">
        <v>1081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3"/>
      <c r="N25" s="45"/>
    </row>
    <row r="26" spans="1:16" x14ac:dyDescent="0.2">
      <c r="A26" s="46">
        <v>2016</v>
      </c>
      <c r="B26" s="2" t="s">
        <v>56</v>
      </c>
      <c r="C26" s="2" t="s">
        <v>57</v>
      </c>
      <c r="D26" s="2" t="s">
        <v>58</v>
      </c>
      <c r="E26" s="2" t="s">
        <v>59</v>
      </c>
      <c r="F26" s="2" t="s">
        <v>60</v>
      </c>
      <c r="G26" s="2" t="s">
        <v>61</v>
      </c>
      <c r="H26" s="2" t="s">
        <v>62</v>
      </c>
      <c r="I26" s="2" t="s">
        <v>63</v>
      </c>
      <c r="J26" s="2" t="s">
        <v>64</v>
      </c>
      <c r="K26" s="2" t="s">
        <v>65</v>
      </c>
      <c r="L26" s="2" t="s">
        <v>66</v>
      </c>
      <c r="M26" s="47" t="s">
        <v>8</v>
      </c>
      <c r="N26" s="6" t="s">
        <v>12</v>
      </c>
    </row>
    <row r="27" spans="1:16" x14ac:dyDescent="0.2">
      <c r="A27" s="46" t="s">
        <v>9</v>
      </c>
      <c r="B27" s="73">
        <f ca="1">INDIRECT("'"&amp;B$26&amp;"'!C27")</f>
        <v>2273</v>
      </c>
      <c r="C27" s="73">
        <f ca="1">INDIRECT("'"&amp;C$26&amp;"'!E27")</f>
        <v>9887</v>
      </c>
      <c r="D27" s="73">
        <f ca="1">INDIRECT("'"&amp;D$26&amp;"'!G27")</f>
        <v>10527</v>
      </c>
      <c r="E27" s="73">
        <f ca="1">INDIRECT("'"&amp;E$26&amp;"'!D27")</f>
        <v>4354</v>
      </c>
      <c r="F27" s="73">
        <f t="shared" ref="F27" ca="1" si="23">INDIRECT("'"&amp;F$26&amp;"'!C27")</f>
        <v>597</v>
      </c>
      <c r="G27" s="73">
        <f ca="1">INDIRECT("'"&amp;G$26&amp;"'!E27")</f>
        <v>5173</v>
      </c>
      <c r="H27" s="73">
        <f ca="1">INDIRECT("'"&amp;H$26&amp;"'!D27")</f>
        <v>3142</v>
      </c>
      <c r="I27" s="73">
        <f t="shared" ref="I27:K27" ca="1" si="24">INDIRECT("'"&amp;I$26&amp;"'!D27")</f>
        <v>3919</v>
      </c>
      <c r="J27" s="73">
        <f t="shared" ca="1" si="24"/>
        <v>7433</v>
      </c>
      <c r="K27" s="73">
        <f t="shared" ca="1" si="24"/>
        <v>5029</v>
      </c>
      <c r="L27" s="73">
        <f ca="1">INDIRECT("'"&amp;L$26&amp;"'!G27")</f>
        <v>13082</v>
      </c>
      <c r="M27" s="74">
        <f ca="1">SUM(B27:L27)</f>
        <v>65416</v>
      </c>
      <c r="N27" s="92">
        <f ca="1">MROUND(M27*Enhedsforbrug!$B$7/1000,0.01)</f>
        <v>1720.44</v>
      </c>
      <c r="P27" s="41">
        <f ca="1">M27/SUM($B$27:$L$28)</f>
        <v>0.74715886377394269</v>
      </c>
    </row>
    <row r="28" spans="1:16" x14ac:dyDescent="0.2">
      <c r="A28" s="46" t="s">
        <v>7</v>
      </c>
      <c r="B28" s="73">
        <f ca="1">INDIRECT("'"&amp;B$26&amp;"'!C28")</f>
        <v>445</v>
      </c>
      <c r="C28" s="73">
        <f ca="1">INDIRECT("'"&amp;C$26&amp;"'!E28")</f>
        <v>845</v>
      </c>
      <c r="D28" s="73">
        <f ca="1">INDIRECT("'"&amp;D$26&amp;"'!G28")</f>
        <v>2630</v>
      </c>
      <c r="E28" s="73">
        <f ca="1">INDIRECT("'"&amp;E$26&amp;"'!D28")</f>
        <v>8991</v>
      </c>
      <c r="F28" s="73">
        <f t="shared" ref="F28" ca="1" si="25">INDIRECT("'"&amp;F$26&amp;"'!C28")</f>
        <v>474</v>
      </c>
      <c r="G28" s="73">
        <f ca="1">INDIRECT("'"&amp;G$26&amp;"'!E28")</f>
        <v>2023</v>
      </c>
      <c r="H28" s="73">
        <f ca="1">INDIRECT("'"&amp;H$26&amp;"'!D28")</f>
        <v>134</v>
      </c>
      <c r="I28" s="73">
        <f t="shared" ref="I28:K28" ca="1" si="26">INDIRECT("'"&amp;I$26&amp;"'!D28")</f>
        <v>0</v>
      </c>
      <c r="J28" s="73">
        <f t="shared" ca="1" si="26"/>
        <v>964</v>
      </c>
      <c r="K28" s="73">
        <f t="shared" ca="1" si="26"/>
        <v>885</v>
      </c>
      <c r="L28" s="73">
        <f ca="1">INDIRECT("'"&amp;L$26&amp;"'!G28")</f>
        <v>4746</v>
      </c>
      <c r="M28" s="74">
        <f t="shared" ref="M28:M32" ca="1" si="27">SUM(B28:L28)</f>
        <v>22137</v>
      </c>
      <c r="N28" s="92">
        <f ca="1">MROUND(M28*Enhedsforbrug!$B$8/1000,0.01)</f>
        <v>369.69</v>
      </c>
      <c r="P28" s="41">
        <f ca="1">M28/SUM($B$27:$L$28)</f>
        <v>0.25284113622605736</v>
      </c>
    </row>
    <row r="29" spans="1:16" x14ac:dyDescent="0.2">
      <c r="A29" s="46" t="s">
        <v>2</v>
      </c>
      <c r="B29" s="73">
        <f ca="1">INDIRECT("'"&amp;B$26&amp;"'!C29")</f>
        <v>529</v>
      </c>
      <c r="C29" s="73">
        <f ca="1">INDIRECT("'"&amp;C$26&amp;"'!E29")</f>
        <v>636</v>
      </c>
      <c r="D29" s="73">
        <f ca="1">INDIRECT("'"&amp;D$26&amp;"'!G29")</f>
        <v>1230</v>
      </c>
      <c r="E29" s="73">
        <f ca="1">INDIRECT("'"&amp;E$26&amp;"'!D29")</f>
        <v>1002</v>
      </c>
      <c r="F29" s="73">
        <f t="shared" ref="F29" ca="1" si="28">INDIRECT("'"&amp;F$26&amp;"'!C29")</f>
        <v>45</v>
      </c>
      <c r="G29" s="73">
        <f ca="1">INDIRECT("'"&amp;G$26&amp;"'!E29")</f>
        <v>940</v>
      </c>
      <c r="H29" s="73">
        <f ca="1">INDIRECT("'"&amp;H$26&amp;"'!D29")</f>
        <v>354</v>
      </c>
      <c r="I29" s="73">
        <f t="shared" ref="I29:K29" ca="1" si="29">INDIRECT("'"&amp;I$26&amp;"'!D29")</f>
        <v>884</v>
      </c>
      <c r="J29" s="73">
        <f t="shared" ca="1" si="29"/>
        <v>940</v>
      </c>
      <c r="K29" s="73">
        <f t="shared" ca="1" si="29"/>
        <v>856</v>
      </c>
      <c r="L29" s="73">
        <f ca="1">INDIRECT("'"&amp;L$26&amp;"'!G29")</f>
        <v>988</v>
      </c>
      <c r="M29" s="74">
        <f t="shared" ca="1" si="27"/>
        <v>8404</v>
      </c>
      <c r="N29" s="92">
        <f ca="1">MROUND(M29*Enhedsforbrug!$B$9/1000,0.01)</f>
        <v>1096.72</v>
      </c>
    </row>
    <row r="30" spans="1:16" x14ac:dyDescent="0.2">
      <c r="A30" s="46" t="s">
        <v>6</v>
      </c>
      <c r="B30" s="73">
        <f ca="1">INDIRECT("'"&amp;B$26&amp;"'!C30")</f>
        <v>196</v>
      </c>
      <c r="C30" s="73">
        <f ca="1">INDIRECT("'"&amp;C$26&amp;"'!E30")</f>
        <v>146</v>
      </c>
      <c r="D30" s="73">
        <f ca="1">INDIRECT("'"&amp;D$26&amp;"'!G30")</f>
        <v>203</v>
      </c>
      <c r="E30" s="73">
        <f ca="1">INDIRECT("'"&amp;E$26&amp;"'!D30")</f>
        <v>192</v>
      </c>
      <c r="F30" s="73">
        <f t="shared" ref="F30" ca="1" si="30">INDIRECT("'"&amp;F$26&amp;"'!C30")</f>
        <v>2</v>
      </c>
      <c r="G30" s="73">
        <f ca="1">INDIRECT("'"&amp;G$26&amp;"'!E30")</f>
        <v>170</v>
      </c>
      <c r="H30" s="73">
        <f ca="1">INDIRECT("'"&amp;H$26&amp;"'!D30")</f>
        <v>177</v>
      </c>
      <c r="I30" s="73">
        <f t="shared" ref="I30:K30" ca="1" si="31">INDIRECT("'"&amp;I$26&amp;"'!D30")</f>
        <v>157</v>
      </c>
      <c r="J30" s="73">
        <f t="shared" ca="1" si="31"/>
        <v>190</v>
      </c>
      <c r="K30" s="73">
        <f t="shared" ca="1" si="31"/>
        <v>140</v>
      </c>
      <c r="L30" s="73">
        <f ca="1">INDIRECT("'"&amp;L$26&amp;"'!G30")</f>
        <v>233</v>
      </c>
      <c r="M30" s="74">
        <f t="shared" ca="1" si="27"/>
        <v>1806</v>
      </c>
      <c r="N30" s="93">
        <f ca="1">MROUND(M30*Enhedsforbrug!$B$10/1000,0.01)</f>
        <v>1097.33</v>
      </c>
    </row>
    <row r="31" spans="1:16" x14ac:dyDescent="0.2">
      <c r="A31" s="46" t="s">
        <v>1</v>
      </c>
      <c r="B31" s="73">
        <f ca="1">INDIRECT("'"&amp;B$26&amp;"'!C31")</f>
        <v>1147</v>
      </c>
      <c r="C31" s="73">
        <f ca="1">INDIRECT("'"&amp;C$26&amp;"'!E31")</f>
        <v>2895</v>
      </c>
      <c r="D31" s="73">
        <f ca="1">INDIRECT("'"&amp;D$26&amp;"'!G31")</f>
        <v>4202</v>
      </c>
      <c r="E31" s="73">
        <f ca="1">INDIRECT("'"&amp;E$26&amp;"'!D31")</f>
        <v>2143</v>
      </c>
      <c r="F31" s="73">
        <f t="shared" ref="F31" ca="1" si="32">INDIRECT("'"&amp;F$26&amp;"'!C31")</f>
        <v>330</v>
      </c>
      <c r="G31" s="73">
        <f ca="1">INDIRECT("'"&amp;G$26&amp;"'!E31")</f>
        <v>1562</v>
      </c>
      <c r="H31" s="73">
        <f ca="1">INDIRECT("'"&amp;H$26&amp;"'!D31")</f>
        <v>1590</v>
      </c>
      <c r="I31" s="73">
        <f t="shared" ref="I31:K31" ca="1" si="33">INDIRECT("'"&amp;I$26&amp;"'!D31")</f>
        <v>1285</v>
      </c>
      <c r="J31" s="73">
        <f t="shared" ca="1" si="33"/>
        <v>2325</v>
      </c>
      <c r="K31" s="73">
        <f t="shared" ca="1" si="33"/>
        <v>2509</v>
      </c>
      <c r="L31" s="73">
        <f ca="1">INDIRECT("'"&amp;L$26&amp;"'!G31")</f>
        <v>2172</v>
      </c>
      <c r="M31" s="74">
        <f t="shared" ca="1" si="27"/>
        <v>22160</v>
      </c>
      <c r="N31" s="93">
        <f ca="1">MROUND(M31*Enhedsforbrug!$B$11/1000,0.01)</f>
        <v>1662</v>
      </c>
    </row>
    <row r="32" spans="1:16" x14ac:dyDescent="0.2">
      <c r="A32" s="46" t="s">
        <v>3</v>
      </c>
      <c r="B32" s="73">
        <f ca="1">INDIRECT("'"&amp;B$26&amp;"'!C32")</f>
        <v>1690</v>
      </c>
      <c r="C32" s="73">
        <f ca="1">INDIRECT("'"&amp;C$26&amp;"'!E32")</f>
        <v>1220</v>
      </c>
      <c r="D32" s="73">
        <f ca="1">INDIRECT("'"&amp;D$26&amp;"'!G32")</f>
        <v>2740</v>
      </c>
      <c r="E32" s="73">
        <f ca="1">INDIRECT("'"&amp;E$26&amp;"'!D32")</f>
        <v>2138</v>
      </c>
      <c r="F32" s="73">
        <f t="shared" ref="F32" ca="1" si="34">INDIRECT("'"&amp;F$26&amp;"'!C32")</f>
        <v>31</v>
      </c>
      <c r="G32" s="73">
        <f ca="1">INDIRECT("'"&amp;G$26&amp;"'!E32")</f>
        <v>1997</v>
      </c>
      <c r="H32" s="73">
        <f ca="1">INDIRECT("'"&amp;H$26&amp;"'!D32")</f>
        <v>1612</v>
      </c>
      <c r="I32" s="73">
        <f t="shared" ref="I32:K32" ca="1" si="35">INDIRECT("'"&amp;I$26&amp;"'!D32")</f>
        <v>1398</v>
      </c>
      <c r="J32" s="73">
        <f t="shared" ca="1" si="35"/>
        <v>2132</v>
      </c>
      <c r="K32" s="73">
        <f t="shared" ca="1" si="35"/>
        <v>2077</v>
      </c>
      <c r="L32" s="73">
        <f ca="1">INDIRECT("'"&amp;L$26&amp;"'!G32")</f>
        <v>2289</v>
      </c>
      <c r="M32" s="74">
        <f t="shared" ca="1" si="27"/>
        <v>19324</v>
      </c>
      <c r="N32" s="93">
        <f ca="1">MROUND(M32*Enhedsforbrug!$B$12/1000,0.01)</f>
        <v>3551.75</v>
      </c>
    </row>
    <row r="33" spans="1:16" x14ac:dyDescent="0.2">
      <c r="A33" s="48" t="s">
        <v>13</v>
      </c>
      <c r="B33" s="73">
        <f ca="1">INDIRECT("'"&amp;B$26&amp;"'!C33")</f>
        <v>0</v>
      </c>
      <c r="C33" s="73">
        <f t="shared" ref="C33:G33" ca="1" si="36">INDIRECT("'"&amp;C$26&amp;"'!C33")</f>
        <v>0</v>
      </c>
      <c r="D33" s="73">
        <f ca="1">INDIRECT("'"&amp;D$26&amp;"'!G33")</f>
        <v>0</v>
      </c>
      <c r="E33" s="73">
        <f ca="1">INDIRECT("'"&amp;E$26&amp;"'!D33")</f>
        <v>0</v>
      </c>
      <c r="F33" s="73">
        <f t="shared" ca="1" si="36"/>
        <v>0</v>
      </c>
      <c r="G33" s="73">
        <f t="shared" ca="1" si="36"/>
        <v>0</v>
      </c>
      <c r="H33" s="73">
        <f ca="1">INDIRECT("'"&amp;H$26&amp;"'!D33")</f>
        <v>0</v>
      </c>
      <c r="I33" s="73">
        <f t="shared" ref="I33:K33" ca="1" si="37">INDIRECT("'"&amp;I$26&amp;"'!D33")</f>
        <v>0</v>
      </c>
      <c r="J33" s="73">
        <f t="shared" ca="1" si="37"/>
        <v>0</v>
      </c>
      <c r="K33" s="73">
        <f t="shared" ca="1" si="37"/>
        <v>0</v>
      </c>
      <c r="L33" s="73">
        <f ca="1">INDIRECT("'"&amp;L$26&amp;"'!G33")</f>
        <v>0</v>
      </c>
      <c r="M33" s="75"/>
      <c r="N33" s="93">
        <f ca="1">N27+N28+N29</f>
        <v>3186.8500000000004</v>
      </c>
    </row>
    <row r="34" spans="1:16" x14ac:dyDescent="0.2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1:16" x14ac:dyDescent="0.2">
      <c r="A35" s="43" t="s">
        <v>55</v>
      </c>
      <c r="B35" s="44">
        <v>1081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9"/>
      <c r="N35" s="30"/>
    </row>
    <row r="36" spans="1:16" x14ac:dyDescent="0.2">
      <c r="A36" s="46">
        <v>2010</v>
      </c>
      <c r="B36" s="28" t="s">
        <v>56</v>
      </c>
      <c r="C36" s="28" t="s">
        <v>57</v>
      </c>
      <c r="D36" s="28" t="s">
        <v>58</v>
      </c>
      <c r="E36" s="28" t="s">
        <v>59</v>
      </c>
      <c r="F36" s="28" t="s">
        <v>60</v>
      </c>
      <c r="G36" s="28" t="s">
        <v>61</v>
      </c>
      <c r="H36" s="28" t="s">
        <v>62</v>
      </c>
      <c r="I36" s="28" t="s">
        <v>63</v>
      </c>
      <c r="J36" s="28" t="s">
        <v>64</v>
      </c>
      <c r="K36" s="28" t="s">
        <v>65</v>
      </c>
      <c r="L36" s="28" t="s">
        <v>66</v>
      </c>
      <c r="M36" s="31" t="s">
        <v>8</v>
      </c>
      <c r="N36" s="24" t="s">
        <v>12</v>
      </c>
    </row>
    <row r="37" spans="1:16" x14ac:dyDescent="0.2">
      <c r="A37" s="46" t="s">
        <v>9</v>
      </c>
      <c r="B37" s="73">
        <f ca="1">INDIRECT("'"&amp;B$36&amp;"'!D37")</f>
        <v>2495</v>
      </c>
      <c r="C37" s="73">
        <f ca="1">INDIRECT("'"&amp;C$36&amp;"'!E37")</f>
        <v>10093</v>
      </c>
      <c r="D37" s="73">
        <f ca="1">INDIRECT("'"&amp;D$36&amp;"'!F47")</f>
        <v>9768</v>
      </c>
      <c r="E37" s="73">
        <f ca="1">INDIRECT("'"&amp;E$36&amp;"'!D37")</f>
        <v>4159</v>
      </c>
      <c r="F37" s="73">
        <f t="shared" ref="F37" ca="1" si="38">INDIRECT("'"&amp;F$36&amp;"'!C37")</f>
        <v>602</v>
      </c>
      <c r="G37" s="73">
        <f ca="1">INDIRECT("'"&amp;G$36&amp;"'!E37")</f>
        <v>5260</v>
      </c>
      <c r="H37" s="73">
        <f ca="1">INDIRECT("'"&amp;H$36&amp;"'!D37")</f>
        <v>3269</v>
      </c>
      <c r="I37" s="73">
        <f ca="1">INDIRECT("'"&amp;I$36&amp;"'!D47")</f>
        <v>3948</v>
      </c>
      <c r="J37" s="73">
        <f ca="1">INDIRECT("'"&amp;J$36&amp;"'!D47")</f>
        <v>7217</v>
      </c>
      <c r="K37" s="73">
        <f ca="1">INDIRECT("'"&amp;K$36&amp;"'!D37")</f>
        <v>6997</v>
      </c>
      <c r="L37" s="73">
        <f ca="1">INDIRECT("'"&amp;L$36&amp;"'!G47")</f>
        <v>12636</v>
      </c>
      <c r="M37" s="74">
        <f ca="1">SUM(B37:L37)</f>
        <v>66444</v>
      </c>
      <c r="N37" s="92">
        <f ca="1">MROUND(M37*Enhedsforbrug!$B$7/1000,0.01)</f>
        <v>1747.48</v>
      </c>
      <c r="P37" s="41">
        <f ca="1">M37/SUM($B$37:$L$38)</f>
        <v>0.75291504719600222</v>
      </c>
    </row>
    <row r="38" spans="1:16" x14ac:dyDescent="0.2">
      <c r="A38" s="46" t="s">
        <v>7</v>
      </c>
      <c r="B38" s="73">
        <f ca="1">INDIRECT("'"&amp;B$36&amp;"'!D38")</f>
        <v>488</v>
      </c>
      <c r="C38" s="73">
        <f ca="1">INDIRECT("'"&amp;C$36&amp;"'!E38")</f>
        <v>863</v>
      </c>
      <c r="D38" s="73">
        <f ca="1">INDIRECT("'"&amp;D$36&amp;"'!F48")</f>
        <v>2440</v>
      </c>
      <c r="E38" s="73">
        <f ca="1">INDIRECT("'"&amp;E$36&amp;"'!D38")</f>
        <v>8588</v>
      </c>
      <c r="F38" s="73">
        <f t="shared" ref="F38" ca="1" si="39">INDIRECT("'"&amp;F$36&amp;"'!C38")</f>
        <v>478</v>
      </c>
      <c r="G38" s="73">
        <f ca="1">INDIRECT("'"&amp;G$36&amp;"'!E38")</f>
        <v>2057</v>
      </c>
      <c r="H38" s="73">
        <f ca="1">INDIRECT("'"&amp;H$36&amp;"'!D38")</f>
        <v>139</v>
      </c>
      <c r="I38" s="73">
        <f ca="1">INDIRECT("'"&amp;I$36&amp;"'!D48")</f>
        <v>0</v>
      </c>
      <c r="J38" s="73">
        <f ca="1">INDIRECT("'"&amp;J$36&amp;"'!D48")</f>
        <v>936</v>
      </c>
      <c r="K38" s="73">
        <f ca="1">INDIRECT("'"&amp;K$36&amp;"'!D38")</f>
        <v>1232</v>
      </c>
      <c r="L38" s="73">
        <f ca="1">INDIRECT("'"&amp;L$36&amp;"'!G48")</f>
        <v>4584</v>
      </c>
      <c r="M38" s="74">
        <f t="shared" ref="M38:M42" ca="1" si="40">SUM(B38:L38)</f>
        <v>21805</v>
      </c>
      <c r="N38" s="92">
        <f ca="1">MROUND(M38*Enhedsforbrug!$B$8/1000,0.01)</f>
        <v>364.14</v>
      </c>
      <c r="P38" s="41">
        <f ca="1">M38/SUM($B$37:$L$38)</f>
        <v>0.24708495280399778</v>
      </c>
    </row>
    <row r="39" spans="1:16" x14ac:dyDescent="0.2">
      <c r="A39" s="46" t="s">
        <v>2</v>
      </c>
      <c r="B39" s="73">
        <f ca="1">INDIRECT("'"&amp;B$36&amp;"'!D39")</f>
        <v>551</v>
      </c>
      <c r="C39" s="73">
        <f ca="1">INDIRECT("'"&amp;C$36&amp;"'!E39")</f>
        <v>888</v>
      </c>
      <c r="D39" s="73">
        <f ca="1">INDIRECT("'"&amp;D$36&amp;"'!F49")</f>
        <v>1383</v>
      </c>
      <c r="E39" s="73">
        <f ca="1">INDIRECT("'"&amp;E$36&amp;"'!D39")</f>
        <v>1303</v>
      </c>
      <c r="F39" s="73">
        <f t="shared" ref="F39" ca="1" si="41">INDIRECT("'"&amp;F$36&amp;"'!C39")</f>
        <v>53</v>
      </c>
      <c r="G39" s="73">
        <f ca="1">INDIRECT("'"&amp;G$36&amp;"'!E39")</f>
        <v>1477</v>
      </c>
      <c r="H39" s="73">
        <f ca="1">INDIRECT("'"&amp;H$36&amp;"'!D39")</f>
        <v>387</v>
      </c>
      <c r="I39" s="73">
        <f ca="1">INDIRECT("'"&amp;I$36&amp;"'!D49")</f>
        <v>1336</v>
      </c>
      <c r="J39" s="73">
        <f ca="1">INDIRECT("'"&amp;J$36&amp;"'!D49")</f>
        <v>1100</v>
      </c>
      <c r="K39" s="73">
        <f ca="1">INDIRECT("'"&amp;K$36&amp;"'!D39")</f>
        <v>2258</v>
      </c>
      <c r="L39" s="73">
        <f ca="1">INDIRECT("'"&amp;L$36&amp;"'!G49")</f>
        <v>1525</v>
      </c>
      <c r="M39" s="74">
        <f t="shared" ca="1" si="40"/>
        <v>12261</v>
      </c>
      <c r="N39" s="92">
        <f ca="1">MROUND(M39*Enhedsforbrug!$B$9/1000,0.01)</f>
        <v>1600.06</v>
      </c>
    </row>
    <row r="40" spans="1:16" x14ac:dyDescent="0.2">
      <c r="A40" s="46" t="s">
        <v>6</v>
      </c>
      <c r="B40" s="73">
        <f ca="1">INDIRECT("'"&amp;B$36&amp;"'!D40")</f>
        <v>160</v>
      </c>
      <c r="C40" s="73">
        <f ca="1">INDIRECT("'"&amp;C$36&amp;"'!E40")</f>
        <v>176</v>
      </c>
      <c r="D40" s="73">
        <f ca="1">INDIRECT("'"&amp;D$36&amp;"'!F50")</f>
        <v>234</v>
      </c>
      <c r="E40" s="73">
        <f ca="1">INDIRECT("'"&amp;E$36&amp;"'!D40")</f>
        <v>217</v>
      </c>
      <c r="F40" s="73">
        <f t="shared" ref="F40" ca="1" si="42">INDIRECT("'"&amp;F$36&amp;"'!C40")</f>
        <v>2</v>
      </c>
      <c r="G40" s="73">
        <f ca="1">INDIRECT("'"&amp;G$36&amp;"'!E40")</f>
        <v>205</v>
      </c>
      <c r="H40" s="73">
        <f ca="1">INDIRECT("'"&amp;H$36&amp;"'!D40")</f>
        <v>245</v>
      </c>
      <c r="I40" s="73">
        <f ca="1">INDIRECT("'"&amp;I$36&amp;"'!D50")</f>
        <v>210</v>
      </c>
      <c r="J40" s="73">
        <f ca="1">INDIRECT("'"&amp;J$36&amp;"'!D50")</f>
        <v>256</v>
      </c>
      <c r="K40" s="73">
        <f ca="1">INDIRECT("'"&amp;K$36&amp;"'!D40")</f>
        <v>271</v>
      </c>
      <c r="L40" s="73">
        <f ca="1">INDIRECT("'"&amp;L$36&amp;"'!G50")</f>
        <v>295</v>
      </c>
      <c r="M40" s="74">
        <f t="shared" ca="1" si="40"/>
        <v>2271</v>
      </c>
      <c r="N40" s="93">
        <f ca="1">MROUND(M40*Enhedsforbrug!$B$10/1000,0.01)</f>
        <v>1379.8600000000001</v>
      </c>
    </row>
    <row r="41" spans="1:16" x14ac:dyDescent="0.2">
      <c r="A41" s="46" t="s">
        <v>1</v>
      </c>
      <c r="B41" s="73">
        <f ca="1">INDIRECT("'"&amp;B$36&amp;"'!D41")</f>
        <v>1446</v>
      </c>
      <c r="C41" s="73">
        <f ca="1">INDIRECT("'"&amp;C$36&amp;"'!E41")</f>
        <v>3938</v>
      </c>
      <c r="D41" s="73">
        <f ca="1">INDIRECT("'"&amp;D$36&amp;"'!F51")</f>
        <v>5760</v>
      </c>
      <c r="E41" s="73">
        <f ca="1">INDIRECT("'"&amp;E$36&amp;"'!D41")</f>
        <v>3245</v>
      </c>
      <c r="F41" s="73">
        <f t="shared" ref="F41" ca="1" si="43">INDIRECT("'"&amp;F$36&amp;"'!C41")</f>
        <v>446</v>
      </c>
      <c r="G41" s="73">
        <f ca="1">INDIRECT("'"&amp;G$36&amp;"'!E41")</f>
        <v>2859</v>
      </c>
      <c r="H41" s="73">
        <f ca="1">INDIRECT("'"&amp;H$36&amp;"'!D41")</f>
        <v>2287</v>
      </c>
      <c r="I41" s="73">
        <f ca="1">INDIRECT("'"&amp;I$36&amp;"'!D51")</f>
        <v>2238</v>
      </c>
      <c r="J41" s="73">
        <f ca="1">INDIRECT("'"&amp;J$36&amp;"'!D51")</f>
        <v>3576</v>
      </c>
      <c r="K41" s="73">
        <f ca="1">INDIRECT("'"&amp;K$36&amp;"'!D41")</f>
        <v>5130</v>
      </c>
      <c r="L41" s="73">
        <f ca="1">INDIRECT("'"&amp;L$36&amp;"'!G51")</f>
        <v>3836</v>
      </c>
      <c r="M41" s="74">
        <f t="shared" ca="1" si="40"/>
        <v>34761</v>
      </c>
      <c r="N41" s="93">
        <f ca="1">MROUND(M41*Enhedsforbrug!$B$11/1000,0.01)</f>
        <v>2607.0700000000002</v>
      </c>
    </row>
    <row r="42" spans="1:16" x14ac:dyDescent="0.2">
      <c r="A42" s="46" t="s">
        <v>3</v>
      </c>
      <c r="B42" s="73">
        <f ca="1">INDIRECT("'"&amp;B$36&amp;"'!D42")</f>
        <v>599</v>
      </c>
      <c r="C42" s="73">
        <f ca="1">INDIRECT("'"&amp;C$36&amp;"'!E42")</f>
        <v>879</v>
      </c>
      <c r="D42" s="73">
        <f ca="1">INDIRECT("'"&amp;D$36&amp;"'!F52")</f>
        <v>1757</v>
      </c>
      <c r="E42" s="73">
        <f ca="1">INDIRECT("'"&amp;E$36&amp;"'!D42")</f>
        <v>1267</v>
      </c>
      <c r="F42" s="73">
        <f t="shared" ref="F42" ca="1" si="44">INDIRECT("'"&amp;F$36&amp;"'!C42")</f>
        <v>18</v>
      </c>
      <c r="G42" s="73">
        <f ca="1">INDIRECT("'"&amp;G$36&amp;"'!E42")</f>
        <v>1287</v>
      </c>
      <c r="H42" s="73">
        <f ca="1">INDIRECT("'"&amp;H$36&amp;"'!D42")</f>
        <v>959</v>
      </c>
      <c r="I42" s="73">
        <f ca="1">INDIRECT("'"&amp;I$36&amp;"'!D52")</f>
        <v>786</v>
      </c>
      <c r="J42" s="73">
        <f ca="1">INDIRECT("'"&amp;J$36&amp;"'!D52")</f>
        <v>1429</v>
      </c>
      <c r="K42" s="73">
        <f ca="1">INDIRECT("'"&amp;K$36&amp;"'!D42")</f>
        <v>1899</v>
      </c>
      <c r="L42" s="73">
        <f ca="1">INDIRECT("'"&amp;L$36&amp;"'!G52")</f>
        <v>1435</v>
      </c>
      <c r="M42" s="74">
        <f t="shared" ca="1" si="40"/>
        <v>12315</v>
      </c>
      <c r="N42" s="93">
        <f ca="1">MROUND(M42*Enhedsforbrug!$B$12/1000,0.01)</f>
        <v>2263.5</v>
      </c>
    </row>
    <row r="43" spans="1:16" x14ac:dyDescent="0.2">
      <c r="A43" s="48" t="s">
        <v>13</v>
      </c>
      <c r="B43" s="73">
        <f ca="1">INDIRECT("'"&amp;B$36&amp;"'!D43")</f>
        <v>0</v>
      </c>
      <c r="C43" s="73">
        <f ca="1">INDIRECT("'"&amp;C$36&amp;"'!E43")</f>
        <v>0</v>
      </c>
      <c r="D43" s="73">
        <f ca="1">INDIRECT("'"&amp;D$36&amp;"'!F53")</f>
        <v>0</v>
      </c>
      <c r="E43" s="73">
        <f ca="1">INDIRECT("'"&amp;E$36&amp;"'!D43")</f>
        <v>0</v>
      </c>
      <c r="F43" s="73">
        <f ca="1">INDIRECT("'"&amp;F$36&amp;"'!C43")</f>
        <v>0</v>
      </c>
      <c r="G43" s="73">
        <f ca="1">INDIRECT("'"&amp;G$36&amp;"'!E43")</f>
        <v>0</v>
      </c>
      <c r="H43" s="73">
        <f ca="1">INDIRECT("'"&amp;H$36&amp;"'!D43")</f>
        <v>0</v>
      </c>
      <c r="I43" s="73">
        <f ca="1">INDIRECT("'"&amp;I$36&amp;"'!D53")</f>
        <v>0</v>
      </c>
      <c r="J43" s="73">
        <f ca="1">INDIRECT("'"&amp;J$36&amp;"'!D53")</f>
        <v>0</v>
      </c>
      <c r="K43" s="73">
        <f ca="1">INDIRECT("'"&amp;K$36&amp;"'!D43")</f>
        <v>0</v>
      </c>
      <c r="L43" s="73">
        <f ca="1">INDIRECT("'"&amp;L$36&amp;"'!G53")</f>
        <v>0</v>
      </c>
      <c r="M43" s="75"/>
      <c r="N43" s="93">
        <f ca="1">N37+N38+N39</f>
        <v>3711.68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E992D-33F9-48F9-B001-CD7821CE2501}">
  <sheetPr>
    <tabColor rgb="FF92D050"/>
  </sheetPr>
  <dimension ref="A1:P15"/>
  <sheetViews>
    <sheetView showGridLines="0" workbookViewId="0">
      <selection activeCell="N22" sqref="A16:N22"/>
    </sheetView>
  </sheetViews>
  <sheetFormatPr defaultRowHeight="12.75" x14ac:dyDescent="0.2"/>
  <cols>
    <col min="1" max="1" width="25.7109375" customWidth="1"/>
    <col min="2" max="12" width="11.5703125" customWidth="1"/>
    <col min="13" max="14" width="18.5703125" customWidth="1"/>
  </cols>
  <sheetData>
    <row r="1" spans="1:16" ht="26.25" x14ac:dyDescent="0.4">
      <c r="A1" s="4" t="s">
        <v>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6" x14ac:dyDescent="0.2">
      <c r="A2" s="19"/>
      <c r="B2" s="19"/>
      <c r="C2" s="19"/>
      <c r="D2" s="19"/>
      <c r="E2" s="19"/>
    </row>
    <row r="3" spans="1:16" ht="15" x14ac:dyDescent="0.25">
      <c r="A3" s="50" t="s">
        <v>69</v>
      </c>
      <c r="B3" s="19"/>
      <c r="C3" s="19"/>
      <c r="D3" s="19"/>
      <c r="E3" s="19"/>
    </row>
    <row r="5" spans="1:16" x14ac:dyDescent="0.2">
      <c r="A5" s="43" t="s">
        <v>55</v>
      </c>
      <c r="B5" s="44">
        <v>1081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3"/>
      <c r="N5" s="45"/>
    </row>
    <row r="6" spans="1:16" x14ac:dyDescent="0.2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6" x14ac:dyDescent="0.2">
      <c r="A7" s="43" t="s">
        <v>55</v>
      </c>
      <c r="B7" s="44">
        <v>1081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9"/>
      <c r="N7" s="30"/>
    </row>
    <row r="8" spans="1:16" x14ac:dyDescent="0.2">
      <c r="A8" s="46">
        <v>1990</v>
      </c>
      <c r="B8" s="28" t="s">
        <v>56</v>
      </c>
      <c r="C8" s="28" t="s">
        <v>57</v>
      </c>
      <c r="D8" s="28" t="s">
        <v>58</v>
      </c>
      <c r="E8" s="28" t="s">
        <v>59</v>
      </c>
      <c r="F8" s="28" t="s">
        <v>60</v>
      </c>
      <c r="G8" s="28" t="s">
        <v>61</v>
      </c>
      <c r="H8" s="28" t="s">
        <v>62</v>
      </c>
      <c r="I8" s="28" t="s">
        <v>63</v>
      </c>
      <c r="J8" s="28" t="s">
        <v>64</v>
      </c>
      <c r="K8" s="28" t="s">
        <v>65</v>
      </c>
      <c r="L8" s="28" t="s">
        <v>66</v>
      </c>
      <c r="M8" s="31" t="s">
        <v>8</v>
      </c>
      <c r="N8" s="31" t="s">
        <v>12</v>
      </c>
    </row>
    <row r="9" spans="1:16" x14ac:dyDescent="0.2">
      <c r="A9" s="46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4"/>
      <c r="N9" s="76">
        <f>MROUND(M9*Enhedsforbrug!$B$7/1000,0.01)</f>
        <v>0</v>
      </c>
      <c r="P9" s="41">
        <v>0.75291504719600222</v>
      </c>
    </row>
    <row r="10" spans="1:16" x14ac:dyDescent="0.2">
      <c r="A10" s="46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4"/>
      <c r="N10" s="76">
        <f>MROUND(M10*Enhedsforbrug!$B$8/1000,0.01)</f>
        <v>0</v>
      </c>
      <c r="P10" s="41">
        <v>0.24708495280399778</v>
      </c>
    </row>
    <row r="11" spans="1:16" x14ac:dyDescent="0.2">
      <c r="A11" s="46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4"/>
      <c r="N11" s="76">
        <f>MROUND(M11*Enhedsforbrug!$B$9/1000,0.01)</f>
        <v>0</v>
      </c>
    </row>
    <row r="12" spans="1:16" x14ac:dyDescent="0.2">
      <c r="A12" s="46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4"/>
      <c r="N12" s="76">
        <f>MROUND(M12*Enhedsforbrug!$B$10/1000,0.01)</f>
        <v>0</v>
      </c>
    </row>
    <row r="13" spans="1:16" x14ac:dyDescent="0.2">
      <c r="A13" s="46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4"/>
      <c r="N13" s="76">
        <f>MROUND(M13*Enhedsforbrug!$B$11/1000,0.01)</f>
        <v>0</v>
      </c>
    </row>
    <row r="14" spans="1:16" x14ac:dyDescent="0.2">
      <c r="A14" s="46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4"/>
      <c r="N14" s="76">
        <f>MROUND(M14*Enhedsforbrug!$B$12/1000,0.01)</f>
        <v>0</v>
      </c>
    </row>
    <row r="15" spans="1:16" x14ac:dyDescent="0.2">
      <c r="A15" s="48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5"/>
      <c r="N15" s="77">
        <f>N9+N10+N11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2"/>
  <sheetViews>
    <sheetView showGridLines="0" workbookViewId="0">
      <selection activeCell="I37" sqref="I37"/>
    </sheetView>
  </sheetViews>
  <sheetFormatPr defaultRowHeight="12.75" x14ac:dyDescent="0.2"/>
  <cols>
    <col min="1" max="1" width="26.5703125" bestFit="1" customWidth="1"/>
  </cols>
  <sheetData>
    <row r="1" spans="1:35" s="5" customFormat="1" ht="26.25" x14ac:dyDescent="0.4">
      <c r="A1" s="4" t="s">
        <v>81</v>
      </c>
    </row>
    <row r="2" spans="1:35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x14ac:dyDescent="0.2">
      <c r="A3" s="32" t="s">
        <v>50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5" spans="1:35" x14ac:dyDescent="0.2">
      <c r="B5" s="1" t="s">
        <v>15</v>
      </c>
      <c r="H5" s="79"/>
    </row>
    <row r="6" spans="1:35" x14ac:dyDescent="0.2">
      <c r="A6" s="2" t="s">
        <v>14</v>
      </c>
      <c r="B6" s="2" t="s">
        <v>11</v>
      </c>
      <c r="C6" s="2" t="s">
        <v>12</v>
      </c>
    </row>
    <row r="7" spans="1:35" x14ac:dyDescent="0.2">
      <c r="A7" s="12" t="s">
        <v>5</v>
      </c>
      <c r="B7" s="34">
        <v>26.3</v>
      </c>
      <c r="C7" s="3">
        <f>B7/1000</f>
        <v>2.63E-2</v>
      </c>
    </row>
    <row r="8" spans="1:35" x14ac:dyDescent="0.2">
      <c r="A8" s="12" t="s">
        <v>10</v>
      </c>
      <c r="B8" s="34">
        <v>16.7</v>
      </c>
      <c r="C8" s="3">
        <f t="shared" ref="C8:C12" si="0">B8/1000</f>
        <v>1.67E-2</v>
      </c>
    </row>
    <row r="9" spans="1:35" x14ac:dyDescent="0.2">
      <c r="A9" s="12" t="s">
        <v>4</v>
      </c>
      <c r="B9" s="34">
        <v>130.5</v>
      </c>
      <c r="C9" s="3">
        <f t="shared" si="0"/>
        <v>0.1305</v>
      </c>
    </row>
    <row r="10" spans="1:35" x14ac:dyDescent="0.2">
      <c r="A10" s="12" t="s">
        <v>0</v>
      </c>
      <c r="B10" s="34">
        <v>607.6</v>
      </c>
      <c r="C10" s="3">
        <f t="shared" si="0"/>
        <v>0.60760000000000003</v>
      </c>
    </row>
    <row r="11" spans="1:35" x14ac:dyDescent="0.2">
      <c r="A11" s="12" t="s">
        <v>1</v>
      </c>
      <c r="B11" s="33">
        <v>75</v>
      </c>
      <c r="C11" s="3">
        <f t="shared" si="0"/>
        <v>7.4999999999999997E-2</v>
      </c>
    </row>
    <row r="12" spans="1:35" x14ac:dyDescent="0.2">
      <c r="A12" s="12" t="s">
        <v>3</v>
      </c>
      <c r="B12" s="34">
        <v>183.8</v>
      </c>
      <c r="C12" s="3">
        <f t="shared" si="0"/>
        <v>0.18380000000000002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2D5F5-18BD-4D03-9D55-22A9C330297F}">
  <sheetPr>
    <tabColor theme="7" tint="0.39997558519241921"/>
  </sheetPr>
  <dimension ref="A1:Z141"/>
  <sheetViews>
    <sheetView zoomScale="70" zoomScaleNormal="70" workbookViewId="0">
      <selection activeCell="A2" sqref="A2"/>
    </sheetView>
  </sheetViews>
  <sheetFormatPr defaultColWidth="9.140625" defaultRowHeight="12.75" customHeight="1" x14ac:dyDescent="0.25"/>
  <cols>
    <col min="1" max="1" width="9.140625" style="96" customWidth="1"/>
    <col min="2" max="2" width="20.5703125" style="96" customWidth="1"/>
    <col min="3" max="11" width="19.140625" style="96" customWidth="1"/>
    <col min="12" max="13" width="9.140625" style="96"/>
    <col min="14" max="14" width="14.5703125" style="96" bestFit="1" customWidth="1"/>
    <col min="15" max="15" width="19.7109375" style="96" customWidth="1"/>
    <col min="16" max="24" width="12.42578125" style="96" customWidth="1"/>
    <col min="25" max="16384" width="9.140625" style="96"/>
  </cols>
  <sheetData>
    <row r="1" spans="1:11" s="95" customFormat="1" ht="26.25" x14ac:dyDescent="0.4">
      <c r="A1" s="94" t="s">
        <v>135</v>
      </c>
      <c r="B1" s="94"/>
    </row>
    <row r="4" spans="1:11" ht="12.75" customHeight="1" x14ac:dyDescent="0.25">
      <c r="A4" s="96" t="s">
        <v>84</v>
      </c>
    </row>
    <row r="5" spans="1:11" ht="12.75" customHeight="1" x14ac:dyDescent="0.25">
      <c r="B5" s="97" t="s">
        <v>85</v>
      </c>
      <c r="C5" s="97" t="s">
        <v>86</v>
      </c>
      <c r="D5" s="97" t="s">
        <v>87</v>
      </c>
      <c r="E5" s="97" t="s">
        <v>88</v>
      </c>
      <c r="F5" s="97" t="s">
        <v>89</v>
      </c>
      <c r="G5" s="97" t="s">
        <v>90</v>
      </c>
      <c r="H5" s="97" t="s">
        <v>91</v>
      </c>
      <c r="I5" s="97" t="s">
        <v>92</v>
      </c>
      <c r="J5" s="97" t="s">
        <v>93</v>
      </c>
      <c r="K5" s="96" t="s">
        <v>94</v>
      </c>
    </row>
    <row r="6" spans="1:11" ht="12.75" customHeight="1" x14ac:dyDescent="0.25">
      <c r="B6" s="98" t="s">
        <v>95</v>
      </c>
      <c r="C6" s="99">
        <v>1018103</v>
      </c>
      <c r="D6" s="99">
        <v>783872</v>
      </c>
      <c r="E6" s="99">
        <v>152076</v>
      </c>
      <c r="F6" s="99">
        <v>44340</v>
      </c>
      <c r="G6" s="99">
        <v>0</v>
      </c>
      <c r="H6" s="99">
        <v>128374</v>
      </c>
      <c r="I6" s="99">
        <v>117876</v>
      </c>
      <c r="J6" s="99">
        <v>958</v>
      </c>
      <c r="K6" s="100">
        <f t="shared" ref="K6:K18" si="0">SUM(C6:J6)</f>
        <v>2245599</v>
      </c>
    </row>
    <row r="7" spans="1:11" ht="12.75" customHeight="1" x14ac:dyDescent="0.25">
      <c r="B7" s="98" t="s">
        <v>55</v>
      </c>
      <c r="C7" s="99">
        <v>122413</v>
      </c>
      <c r="D7" s="99">
        <v>94559</v>
      </c>
      <c r="E7" s="99">
        <v>3043</v>
      </c>
      <c r="F7" s="99">
        <v>5956</v>
      </c>
      <c r="G7" s="99">
        <v>0</v>
      </c>
      <c r="H7" s="99">
        <v>9639</v>
      </c>
      <c r="I7" s="99">
        <v>3862</v>
      </c>
      <c r="J7" s="99">
        <v>173</v>
      </c>
      <c r="K7" s="100">
        <f t="shared" si="0"/>
        <v>239645</v>
      </c>
    </row>
    <row r="8" spans="1:11" ht="12.75" customHeight="1" x14ac:dyDescent="0.25">
      <c r="B8" s="98" t="s">
        <v>19</v>
      </c>
      <c r="C8" s="99">
        <v>7387</v>
      </c>
      <c r="D8" s="99">
        <v>5633</v>
      </c>
      <c r="E8" s="99">
        <v>173</v>
      </c>
      <c r="F8" s="99">
        <v>643</v>
      </c>
      <c r="G8" s="99">
        <v>0</v>
      </c>
      <c r="H8" s="99">
        <v>488</v>
      </c>
      <c r="I8" s="99">
        <v>181</v>
      </c>
      <c r="J8" s="99">
        <v>46</v>
      </c>
      <c r="K8" s="100">
        <f t="shared" si="0"/>
        <v>14551</v>
      </c>
    </row>
    <row r="9" spans="1:11" ht="12.75" customHeight="1" x14ac:dyDescent="0.25">
      <c r="B9" s="98" t="s">
        <v>22</v>
      </c>
      <c r="C9" s="99">
        <v>13444</v>
      </c>
      <c r="D9" s="99">
        <v>11463</v>
      </c>
      <c r="E9" s="99">
        <v>595</v>
      </c>
      <c r="F9" s="99">
        <v>591</v>
      </c>
      <c r="G9" s="99">
        <v>0</v>
      </c>
      <c r="H9" s="99">
        <v>1777</v>
      </c>
      <c r="I9" s="99">
        <v>354</v>
      </c>
      <c r="J9" s="99">
        <v>11</v>
      </c>
      <c r="K9" s="100">
        <f t="shared" si="0"/>
        <v>28235</v>
      </c>
    </row>
    <row r="10" spans="1:11" ht="12.75" customHeight="1" x14ac:dyDescent="0.25">
      <c r="B10" s="98" t="s">
        <v>26</v>
      </c>
      <c r="C10" s="99">
        <v>13544</v>
      </c>
      <c r="D10" s="99">
        <v>11371</v>
      </c>
      <c r="E10" s="99">
        <v>266</v>
      </c>
      <c r="F10" s="99">
        <v>697</v>
      </c>
      <c r="G10" s="99">
        <v>0</v>
      </c>
      <c r="H10" s="99">
        <v>1392</v>
      </c>
      <c r="I10" s="99">
        <v>412</v>
      </c>
      <c r="J10" s="99">
        <v>22</v>
      </c>
      <c r="K10" s="100">
        <f t="shared" si="0"/>
        <v>27704</v>
      </c>
    </row>
    <row r="11" spans="1:11" ht="12.75" customHeight="1" x14ac:dyDescent="0.25">
      <c r="B11" s="98" t="s">
        <v>17</v>
      </c>
      <c r="C11" s="99">
        <v>4422</v>
      </c>
      <c r="D11" s="99">
        <v>8160</v>
      </c>
      <c r="E11" s="99">
        <v>284</v>
      </c>
      <c r="F11" s="99">
        <v>672</v>
      </c>
      <c r="G11" s="99">
        <v>0</v>
      </c>
      <c r="H11" s="99">
        <v>842</v>
      </c>
      <c r="I11" s="99">
        <v>285</v>
      </c>
      <c r="J11" s="99">
        <v>9</v>
      </c>
      <c r="K11" s="100">
        <f t="shared" si="0"/>
        <v>14674</v>
      </c>
    </row>
    <row r="12" spans="1:11" ht="12.75" customHeight="1" x14ac:dyDescent="0.25">
      <c r="B12" s="98" t="s">
        <v>28</v>
      </c>
      <c r="C12" s="99">
        <v>0</v>
      </c>
      <c r="D12" s="99">
        <v>746</v>
      </c>
      <c r="E12" s="99">
        <v>0</v>
      </c>
      <c r="F12" s="99">
        <v>26</v>
      </c>
      <c r="G12" s="99">
        <v>0</v>
      </c>
      <c r="H12" s="99">
        <v>59</v>
      </c>
      <c r="I12" s="99">
        <v>204</v>
      </c>
      <c r="J12" s="99">
        <v>0</v>
      </c>
      <c r="K12" s="100">
        <f t="shared" si="0"/>
        <v>1035</v>
      </c>
    </row>
    <row r="13" spans="1:11" ht="12.75" customHeight="1" x14ac:dyDescent="0.25">
      <c r="B13" s="98" t="s">
        <v>51</v>
      </c>
      <c r="C13" s="99">
        <v>4243</v>
      </c>
      <c r="D13" s="99">
        <v>9619</v>
      </c>
      <c r="E13" s="99">
        <v>614</v>
      </c>
      <c r="F13" s="99">
        <v>464</v>
      </c>
      <c r="G13" s="99">
        <v>0</v>
      </c>
      <c r="H13" s="99">
        <v>1231</v>
      </c>
      <c r="I13" s="99">
        <v>340</v>
      </c>
      <c r="J13" s="99">
        <v>19</v>
      </c>
      <c r="K13" s="100">
        <f t="shared" si="0"/>
        <v>16530</v>
      </c>
    </row>
    <row r="14" spans="1:11" ht="12.75" customHeight="1" x14ac:dyDescent="0.25">
      <c r="B14" s="98" t="s">
        <v>30</v>
      </c>
      <c r="C14" s="99">
        <v>1590</v>
      </c>
      <c r="D14" s="99">
        <v>6622</v>
      </c>
      <c r="E14" s="99">
        <v>418</v>
      </c>
      <c r="F14" s="99">
        <v>171</v>
      </c>
      <c r="G14" s="99">
        <v>0</v>
      </c>
      <c r="H14" s="99">
        <v>632</v>
      </c>
      <c r="I14" s="99">
        <v>592</v>
      </c>
      <c r="J14" s="99">
        <v>8</v>
      </c>
      <c r="K14" s="100">
        <f t="shared" si="0"/>
        <v>10033</v>
      </c>
    </row>
    <row r="15" spans="1:11" ht="12.75" customHeight="1" x14ac:dyDescent="0.25">
      <c r="B15" s="98" t="s">
        <v>34</v>
      </c>
      <c r="C15" s="99">
        <v>2892</v>
      </c>
      <c r="D15" s="99">
        <v>5838</v>
      </c>
      <c r="E15" s="99">
        <v>97</v>
      </c>
      <c r="F15" s="99">
        <v>517</v>
      </c>
      <c r="G15" s="99">
        <v>0</v>
      </c>
      <c r="H15" s="99">
        <v>575</v>
      </c>
      <c r="I15" s="99">
        <v>138</v>
      </c>
      <c r="J15" s="99">
        <v>7</v>
      </c>
      <c r="K15" s="100">
        <f t="shared" si="0"/>
        <v>10064</v>
      </c>
    </row>
    <row r="16" spans="1:11" ht="12.75" customHeight="1" x14ac:dyDescent="0.25">
      <c r="B16" s="98" t="s">
        <v>37</v>
      </c>
      <c r="C16" s="99">
        <v>6597</v>
      </c>
      <c r="D16" s="99">
        <v>10174</v>
      </c>
      <c r="E16" s="99">
        <v>219</v>
      </c>
      <c r="F16" s="99">
        <v>976</v>
      </c>
      <c r="G16" s="99">
        <v>0</v>
      </c>
      <c r="H16" s="99">
        <v>979</v>
      </c>
      <c r="I16" s="99">
        <v>391</v>
      </c>
      <c r="J16" s="99">
        <v>7</v>
      </c>
      <c r="K16" s="100">
        <f t="shared" si="0"/>
        <v>19343</v>
      </c>
    </row>
    <row r="17" spans="1:11" ht="12.75" customHeight="1" x14ac:dyDescent="0.25">
      <c r="B17" s="98" t="s">
        <v>42</v>
      </c>
      <c r="C17" s="99">
        <v>6365</v>
      </c>
      <c r="D17" s="99">
        <v>7394</v>
      </c>
      <c r="E17" s="99">
        <v>204</v>
      </c>
      <c r="F17" s="99">
        <v>459</v>
      </c>
      <c r="G17" s="99">
        <v>0</v>
      </c>
      <c r="H17" s="99">
        <v>338</v>
      </c>
      <c r="I17" s="99">
        <v>214</v>
      </c>
      <c r="J17" s="99">
        <v>24</v>
      </c>
      <c r="K17" s="100">
        <f t="shared" si="0"/>
        <v>14998</v>
      </c>
    </row>
    <row r="18" spans="1:11" ht="12.75" customHeight="1" x14ac:dyDescent="0.25">
      <c r="B18" s="98" t="s">
        <v>45</v>
      </c>
      <c r="C18" s="99">
        <v>61929</v>
      </c>
      <c r="D18" s="99">
        <v>17539</v>
      </c>
      <c r="E18" s="99">
        <v>173</v>
      </c>
      <c r="F18" s="99">
        <v>740</v>
      </c>
      <c r="G18" s="99">
        <v>0</v>
      </c>
      <c r="H18" s="99">
        <v>1326</v>
      </c>
      <c r="I18" s="99">
        <v>751</v>
      </c>
      <c r="J18" s="99">
        <v>20</v>
      </c>
      <c r="K18" s="100">
        <f t="shared" si="0"/>
        <v>82478</v>
      </c>
    </row>
    <row r="20" spans="1:11" ht="12.75" customHeight="1" x14ac:dyDescent="0.25">
      <c r="A20" s="96" t="s">
        <v>96</v>
      </c>
    </row>
    <row r="21" spans="1:11" ht="12.75" customHeight="1" x14ac:dyDescent="0.25">
      <c r="B21" s="97" t="s">
        <v>85</v>
      </c>
      <c r="C21" s="97" t="s">
        <v>86</v>
      </c>
      <c r="D21" s="97" t="s">
        <v>87</v>
      </c>
      <c r="E21" s="97" t="s">
        <v>88</v>
      </c>
      <c r="F21" s="97" t="s">
        <v>89</v>
      </c>
      <c r="G21" s="97" t="s">
        <v>90</v>
      </c>
      <c r="H21" s="97" t="s">
        <v>91</v>
      </c>
      <c r="I21" s="97" t="s">
        <v>92</v>
      </c>
      <c r="J21" s="97" t="s">
        <v>93</v>
      </c>
      <c r="K21" s="96" t="s">
        <v>94</v>
      </c>
    </row>
    <row r="22" spans="1:11" ht="12.75" customHeight="1" x14ac:dyDescent="0.25">
      <c r="B22" s="98" t="s">
        <v>95</v>
      </c>
      <c r="C22" s="99">
        <v>1581858</v>
      </c>
      <c r="D22" s="99">
        <v>345885</v>
      </c>
      <c r="E22" s="99">
        <v>394181</v>
      </c>
      <c r="F22" s="99">
        <v>58523</v>
      </c>
      <c r="G22" s="99">
        <v>20071</v>
      </c>
      <c r="H22" s="99">
        <v>128531</v>
      </c>
      <c r="I22" s="99">
        <v>22829</v>
      </c>
      <c r="J22" s="99">
        <v>6623</v>
      </c>
      <c r="K22" s="100">
        <f t="shared" ref="K22:K34" si="1">SUM(C22:J22)</f>
        <v>2558501</v>
      </c>
    </row>
    <row r="23" spans="1:11" ht="12.75" customHeight="1" x14ac:dyDescent="0.25">
      <c r="B23" s="98" t="s">
        <v>55</v>
      </c>
      <c r="C23" s="99">
        <v>182152</v>
      </c>
      <c r="D23" s="99">
        <v>44930</v>
      </c>
      <c r="E23" s="99">
        <v>17642</v>
      </c>
      <c r="F23" s="99">
        <v>10963</v>
      </c>
      <c r="G23" s="99">
        <v>2032</v>
      </c>
      <c r="H23" s="99">
        <v>9386</v>
      </c>
      <c r="I23" s="99">
        <v>1602</v>
      </c>
      <c r="J23" s="99">
        <v>576</v>
      </c>
      <c r="K23" s="100">
        <f t="shared" si="1"/>
        <v>269283</v>
      </c>
    </row>
    <row r="24" spans="1:11" ht="12.75" customHeight="1" x14ac:dyDescent="0.25">
      <c r="B24" s="98" t="s">
        <v>19</v>
      </c>
      <c r="C24" s="99">
        <v>10746</v>
      </c>
      <c r="D24" s="99">
        <v>3174</v>
      </c>
      <c r="E24" s="99">
        <v>438</v>
      </c>
      <c r="F24" s="99">
        <v>1034</v>
      </c>
      <c r="G24" s="99">
        <v>134</v>
      </c>
      <c r="H24" s="99">
        <v>399</v>
      </c>
      <c r="I24" s="99">
        <v>66</v>
      </c>
      <c r="J24" s="99">
        <v>56</v>
      </c>
      <c r="K24" s="100">
        <f t="shared" si="1"/>
        <v>16047</v>
      </c>
    </row>
    <row r="25" spans="1:11" ht="12.75" customHeight="1" x14ac:dyDescent="0.25">
      <c r="B25" s="98" t="s">
        <v>22</v>
      </c>
      <c r="C25" s="99">
        <v>19093</v>
      </c>
      <c r="D25" s="99">
        <v>4813</v>
      </c>
      <c r="E25" s="99">
        <v>2906</v>
      </c>
      <c r="F25" s="99">
        <v>572</v>
      </c>
      <c r="G25" s="99">
        <v>486</v>
      </c>
      <c r="H25" s="99">
        <v>1599</v>
      </c>
      <c r="I25" s="99">
        <v>113</v>
      </c>
      <c r="J25" s="99">
        <v>23</v>
      </c>
      <c r="K25" s="100">
        <f t="shared" si="1"/>
        <v>29605</v>
      </c>
    </row>
    <row r="26" spans="1:11" ht="12.75" customHeight="1" x14ac:dyDescent="0.25">
      <c r="B26" s="98" t="s">
        <v>26</v>
      </c>
      <c r="C26" s="99">
        <v>19349</v>
      </c>
      <c r="D26" s="99">
        <v>6043</v>
      </c>
      <c r="E26" s="99">
        <v>1397</v>
      </c>
      <c r="F26" s="99">
        <v>1938</v>
      </c>
      <c r="G26" s="99">
        <v>207</v>
      </c>
      <c r="H26" s="99">
        <v>1429</v>
      </c>
      <c r="I26" s="99">
        <v>162</v>
      </c>
      <c r="J26" s="99">
        <v>33</v>
      </c>
      <c r="K26" s="100">
        <f t="shared" si="1"/>
        <v>30558</v>
      </c>
    </row>
    <row r="27" spans="1:11" ht="12.75" customHeight="1" x14ac:dyDescent="0.25">
      <c r="B27" s="98" t="s">
        <v>17</v>
      </c>
      <c r="C27" s="99">
        <v>7679</v>
      </c>
      <c r="D27" s="99">
        <v>4783</v>
      </c>
      <c r="E27" s="99">
        <v>2099</v>
      </c>
      <c r="F27" s="99">
        <v>965</v>
      </c>
      <c r="G27" s="99">
        <v>186</v>
      </c>
      <c r="H27" s="99">
        <v>1053</v>
      </c>
      <c r="I27" s="99">
        <v>173</v>
      </c>
      <c r="J27" s="99">
        <v>26</v>
      </c>
      <c r="K27" s="100">
        <f t="shared" si="1"/>
        <v>16964</v>
      </c>
    </row>
    <row r="28" spans="1:11" ht="12.75" customHeight="1" x14ac:dyDescent="0.25">
      <c r="B28" s="98" t="s">
        <v>28</v>
      </c>
      <c r="C28" s="99">
        <v>204</v>
      </c>
      <c r="D28" s="99">
        <v>495</v>
      </c>
      <c r="E28" s="99">
        <v>0</v>
      </c>
      <c r="F28" s="99">
        <v>129</v>
      </c>
      <c r="G28" s="99">
        <v>16</v>
      </c>
      <c r="H28" s="99">
        <v>97</v>
      </c>
      <c r="I28" s="99">
        <v>84</v>
      </c>
      <c r="J28" s="99">
        <v>1</v>
      </c>
      <c r="K28" s="100">
        <f t="shared" si="1"/>
        <v>1026</v>
      </c>
    </row>
    <row r="29" spans="1:11" ht="12.75" customHeight="1" x14ac:dyDescent="0.25">
      <c r="B29" s="98" t="s">
        <v>51</v>
      </c>
      <c r="C29" s="99">
        <v>8749</v>
      </c>
      <c r="D29" s="99">
        <v>4952</v>
      </c>
      <c r="E29" s="99">
        <v>2937</v>
      </c>
      <c r="F29" s="99">
        <v>924</v>
      </c>
      <c r="G29" s="99">
        <v>136</v>
      </c>
      <c r="H29" s="99">
        <v>1063</v>
      </c>
      <c r="I29" s="99">
        <v>160</v>
      </c>
      <c r="J29" s="99">
        <v>61</v>
      </c>
      <c r="K29" s="100">
        <f t="shared" si="1"/>
        <v>18982</v>
      </c>
    </row>
    <row r="30" spans="1:11" ht="12.75" customHeight="1" x14ac:dyDescent="0.25">
      <c r="B30" s="98" t="s">
        <v>30</v>
      </c>
      <c r="C30" s="99">
        <v>3088</v>
      </c>
      <c r="D30" s="99">
        <v>3465</v>
      </c>
      <c r="E30" s="99">
        <v>2222</v>
      </c>
      <c r="F30" s="99">
        <v>328</v>
      </c>
      <c r="G30" s="99">
        <v>66</v>
      </c>
      <c r="H30" s="99">
        <v>661</v>
      </c>
      <c r="I30" s="99">
        <v>274</v>
      </c>
      <c r="J30" s="99">
        <v>19</v>
      </c>
      <c r="K30" s="100">
        <f t="shared" si="1"/>
        <v>10123</v>
      </c>
    </row>
    <row r="31" spans="1:11" ht="12.75" customHeight="1" x14ac:dyDescent="0.25">
      <c r="B31" s="98" t="s">
        <v>34</v>
      </c>
      <c r="C31" s="99">
        <v>6725</v>
      </c>
      <c r="D31" s="99">
        <v>3098</v>
      </c>
      <c r="E31" s="99">
        <v>476</v>
      </c>
      <c r="F31" s="99">
        <v>958</v>
      </c>
      <c r="G31" s="99">
        <v>129</v>
      </c>
      <c r="H31" s="99">
        <v>509</v>
      </c>
      <c r="I31" s="99">
        <v>65</v>
      </c>
      <c r="J31" s="99">
        <v>52</v>
      </c>
      <c r="K31" s="100">
        <f t="shared" si="1"/>
        <v>12012</v>
      </c>
    </row>
    <row r="32" spans="1:11" ht="12.75" customHeight="1" x14ac:dyDescent="0.25">
      <c r="B32" s="98" t="s">
        <v>37</v>
      </c>
      <c r="C32" s="99">
        <v>11202</v>
      </c>
      <c r="D32" s="99">
        <v>4388</v>
      </c>
      <c r="E32" s="99">
        <v>1865</v>
      </c>
      <c r="F32" s="99">
        <v>1692</v>
      </c>
      <c r="G32" s="99">
        <v>142</v>
      </c>
      <c r="H32" s="99">
        <v>943</v>
      </c>
      <c r="I32" s="99">
        <v>144</v>
      </c>
      <c r="J32" s="99">
        <v>80</v>
      </c>
      <c r="K32" s="100">
        <f t="shared" si="1"/>
        <v>20456</v>
      </c>
    </row>
    <row r="33" spans="1:11" ht="12.75" customHeight="1" x14ac:dyDescent="0.25">
      <c r="B33" s="98" t="s">
        <v>42</v>
      </c>
      <c r="C33" s="99">
        <v>9901</v>
      </c>
      <c r="D33" s="99">
        <v>3986</v>
      </c>
      <c r="E33" s="99">
        <v>1230</v>
      </c>
      <c r="F33" s="99">
        <v>1244</v>
      </c>
      <c r="G33" s="99">
        <v>173</v>
      </c>
      <c r="H33" s="99">
        <v>401</v>
      </c>
      <c r="I33" s="99">
        <v>77</v>
      </c>
      <c r="J33" s="99">
        <v>74</v>
      </c>
      <c r="K33" s="100">
        <f t="shared" si="1"/>
        <v>17086</v>
      </c>
    </row>
    <row r="34" spans="1:11" ht="12.75" customHeight="1" x14ac:dyDescent="0.25">
      <c r="B34" s="98" t="s">
        <v>45</v>
      </c>
      <c r="C34" s="99">
        <v>85416</v>
      </c>
      <c r="D34" s="99">
        <v>5733</v>
      </c>
      <c r="E34" s="99">
        <v>2072</v>
      </c>
      <c r="F34" s="99">
        <v>1179</v>
      </c>
      <c r="G34" s="99">
        <v>357</v>
      </c>
      <c r="H34" s="99">
        <v>1232</v>
      </c>
      <c r="I34" s="99">
        <v>284</v>
      </c>
      <c r="J34" s="99">
        <v>151</v>
      </c>
      <c r="K34" s="100">
        <f t="shared" si="1"/>
        <v>96424</v>
      </c>
    </row>
    <row r="36" spans="1:11" ht="12.75" customHeight="1" x14ac:dyDescent="0.25">
      <c r="A36" s="96" t="s">
        <v>97</v>
      </c>
    </row>
    <row r="37" spans="1:11" ht="12.75" customHeight="1" x14ac:dyDescent="0.25">
      <c r="B37" s="97" t="s">
        <v>85</v>
      </c>
      <c r="C37" s="97" t="s">
        <v>86</v>
      </c>
      <c r="D37" s="97" t="s">
        <v>87</v>
      </c>
      <c r="E37" s="97" t="s">
        <v>88</v>
      </c>
      <c r="F37" s="97" t="s">
        <v>89</v>
      </c>
      <c r="G37" s="97" t="s">
        <v>90</v>
      </c>
      <c r="H37" s="97" t="s">
        <v>91</v>
      </c>
      <c r="I37" s="97" t="s">
        <v>92</v>
      </c>
      <c r="J37" s="97" t="s">
        <v>93</v>
      </c>
      <c r="K37" s="96" t="s">
        <v>94</v>
      </c>
    </row>
    <row r="38" spans="1:11" ht="12.75" customHeight="1" x14ac:dyDescent="0.25">
      <c r="B38" s="98" t="s">
        <v>95</v>
      </c>
      <c r="C38" s="99">
        <f t="shared" ref="C38:J50" si="2">C22-C6</f>
        <v>563755</v>
      </c>
      <c r="D38" s="99">
        <f t="shared" si="2"/>
        <v>-437987</v>
      </c>
      <c r="E38" s="99">
        <f t="shared" si="2"/>
        <v>242105</v>
      </c>
      <c r="F38" s="99">
        <f t="shared" si="2"/>
        <v>14183</v>
      </c>
      <c r="G38" s="99">
        <f t="shared" si="2"/>
        <v>20071</v>
      </c>
      <c r="H38" s="99">
        <f t="shared" si="2"/>
        <v>157</v>
      </c>
      <c r="I38" s="99">
        <f t="shared" si="2"/>
        <v>-95047</v>
      </c>
      <c r="J38" s="99">
        <f t="shared" si="2"/>
        <v>5665</v>
      </c>
      <c r="K38" s="100">
        <f t="shared" ref="K38:K50" si="3">SUM(C38:J38)</f>
        <v>312902</v>
      </c>
    </row>
    <row r="39" spans="1:11" ht="12.75" customHeight="1" x14ac:dyDescent="0.25">
      <c r="B39" s="98" t="s">
        <v>55</v>
      </c>
      <c r="C39" s="99">
        <f t="shared" si="2"/>
        <v>59739</v>
      </c>
      <c r="D39" s="99">
        <f t="shared" si="2"/>
        <v>-49629</v>
      </c>
      <c r="E39" s="99">
        <f t="shared" si="2"/>
        <v>14599</v>
      </c>
      <c r="F39" s="99">
        <f t="shared" si="2"/>
        <v>5007</v>
      </c>
      <c r="G39" s="99">
        <f t="shared" si="2"/>
        <v>2032</v>
      </c>
      <c r="H39" s="99">
        <f t="shared" si="2"/>
        <v>-253</v>
      </c>
      <c r="I39" s="99">
        <f t="shared" si="2"/>
        <v>-2260</v>
      </c>
      <c r="J39" s="99">
        <f t="shared" si="2"/>
        <v>403</v>
      </c>
      <c r="K39" s="100">
        <f t="shared" si="3"/>
        <v>29638</v>
      </c>
    </row>
    <row r="40" spans="1:11" ht="12.75" customHeight="1" x14ac:dyDescent="0.25">
      <c r="B40" s="98" t="s">
        <v>19</v>
      </c>
      <c r="C40" s="99">
        <f t="shared" si="2"/>
        <v>3359</v>
      </c>
      <c r="D40" s="99">
        <f t="shared" si="2"/>
        <v>-2459</v>
      </c>
      <c r="E40" s="99">
        <f t="shared" si="2"/>
        <v>265</v>
      </c>
      <c r="F40" s="99">
        <f t="shared" si="2"/>
        <v>391</v>
      </c>
      <c r="G40" s="99">
        <f t="shared" si="2"/>
        <v>134</v>
      </c>
      <c r="H40" s="99">
        <f t="shared" si="2"/>
        <v>-89</v>
      </c>
      <c r="I40" s="99">
        <f t="shared" si="2"/>
        <v>-115</v>
      </c>
      <c r="J40" s="99">
        <f t="shared" si="2"/>
        <v>10</v>
      </c>
      <c r="K40" s="100">
        <f t="shared" si="3"/>
        <v>1496</v>
      </c>
    </row>
    <row r="41" spans="1:11" ht="12.75" customHeight="1" x14ac:dyDescent="0.25">
      <c r="B41" s="98" t="s">
        <v>22</v>
      </c>
      <c r="C41" s="99">
        <f t="shared" si="2"/>
        <v>5649</v>
      </c>
      <c r="D41" s="99">
        <f t="shared" si="2"/>
        <v>-6650</v>
      </c>
      <c r="E41" s="99">
        <f t="shared" si="2"/>
        <v>2311</v>
      </c>
      <c r="F41" s="99">
        <f t="shared" si="2"/>
        <v>-19</v>
      </c>
      <c r="G41" s="99">
        <f t="shared" si="2"/>
        <v>486</v>
      </c>
      <c r="H41" s="99">
        <f t="shared" si="2"/>
        <v>-178</v>
      </c>
      <c r="I41" s="99">
        <f t="shared" si="2"/>
        <v>-241</v>
      </c>
      <c r="J41" s="99">
        <f t="shared" si="2"/>
        <v>12</v>
      </c>
      <c r="K41" s="100">
        <f t="shared" si="3"/>
        <v>1370</v>
      </c>
    </row>
    <row r="42" spans="1:11" ht="12.75" customHeight="1" x14ac:dyDescent="0.25">
      <c r="B42" s="98" t="s">
        <v>26</v>
      </c>
      <c r="C42" s="99">
        <f t="shared" si="2"/>
        <v>5805</v>
      </c>
      <c r="D42" s="99">
        <f t="shared" si="2"/>
        <v>-5328</v>
      </c>
      <c r="E42" s="99">
        <f t="shared" si="2"/>
        <v>1131</v>
      </c>
      <c r="F42" s="99">
        <f t="shared" si="2"/>
        <v>1241</v>
      </c>
      <c r="G42" s="99">
        <f t="shared" si="2"/>
        <v>207</v>
      </c>
      <c r="H42" s="99">
        <f t="shared" si="2"/>
        <v>37</v>
      </c>
      <c r="I42" s="99">
        <f t="shared" si="2"/>
        <v>-250</v>
      </c>
      <c r="J42" s="99">
        <f t="shared" si="2"/>
        <v>11</v>
      </c>
      <c r="K42" s="100">
        <f t="shared" si="3"/>
        <v>2854</v>
      </c>
    </row>
    <row r="43" spans="1:11" ht="12.75" customHeight="1" x14ac:dyDescent="0.25">
      <c r="B43" s="98" t="s">
        <v>17</v>
      </c>
      <c r="C43" s="99">
        <f t="shared" si="2"/>
        <v>3257</v>
      </c>
      <c r="D43" s="99">
        <f t="shared" si="2"/>
        <v>-3377</v>
      </c>
      <c r="E43" s="99">
        <f t="shared" si="2"/>
        <v>1815</v>
      </c>
      <c r="F43" s="99">
        <f t="shared" si="2"/>
        <v>293</v>
      </c>
      <c r="G43" s="99">
        <f t="shared" si="2"/>
        <v>186</v>
      </c>
      <c r="H43" s="99">
        <f t="shared" si="2"/>
        <v>211</v>
      </c>
      <c r="I43" s="99">
        <f t="shared" si="2"/>
        <v>-112</v>
      </c>
      <c r="J43" s="99">
        <f t="shared" si="2"/>
        <v>17</v>
      </c>
      <c r="K43" s="100">
        <f t="shared" si="3"/>
        <v>2290</v>
      </c>
    </row>
    <row r="44" spans="1:11" ht="12.75" customHeight="1" x14ac:dyDescent="0.25">
      <c r="B44" s="98" t="s">
        <v>28</v>
      </c>
      <c r="C44" s="99">
        <f t="shared" si="2"/>
        <v>204</v>
      </c>
      <c r="D44" s="99">
        <f t="shared" si="2"/>
        <v>-251</v>
      </c>
      <c r="E44" s="99">
        <f t="shared" si="2"/>
        <v>0</v>
      </c>
      <c r="F44" s="99">
        <f t="shared" si="2"/>
        <v>103</v>
      </c>
      <c r="G44" s="99">
        <f t="shared" si="2"/>
        <v>16</v>
      </c>
      <c r="H44" s="99">
        <f t="shared" si="2"/>
        <v>38</v>
      </c>
      <c r="I44" s="99">
        <f t="shared" si="2"/>
        <v>-120</v>
      </c>
      <c r="J44" s="99">
        <f t="shared" si="2"/>
        <v>1</v>
      </c>
      <c r="K44" s="100">
        <f t="shared" si="3"/>
        <v>-9</v>
      </c>
    </row>
    <row r="45" spans="1:11" ht="12.75" customHeight="1" x14ac:dyDescent="0.25">
      <c r="B45" s="98" t="s">
        <v>51</v>
      </c>
      <c r="C45" s="99">
        <f t="shared" si="2"/>
        <v>4506</v>
      </c>
      <c r="D45" s="99">
        <f t="shared" si="2"/>
        <v>-4667</v>
      </c>
      <c r="E45" s="99">
        <f t="shared" si="2"/>
        <v>2323</v>
      </c>
      <c r="F45" s="99">
        <f t="shared" si="2"/>
        <v>460</v>
      </c>
      <c r="G45" s="99">
        <f t="shared" si="2"/>
        <v>136</v>
      </c>
      <c r="H45" s="99">
        <f t="shared" si="2"/>
        <v>-168</v>
      </c>
      <c r="I45" s="99">
        <f t="shared" si="2"/>
        <v>-180</v>
      </c>
      <c r="J45" s="99">
        <f t="shared" si="2"/>
        <v>42</v>
      </c>
      <c r="K45" s="100">
        <f t="shared" si="3"/>
        <v>2452</v>
      </c>
    </row>
    <row r="46" spans="1:11" ht="12.75" customHeight="1" x14ac:dyDescent="0.25">
      <c r="B46" s="98" t="s">
        <v>30</v>
      </c>
      <c r="C46" s="99">
        <f t="shared" si="2"/>
        <v>1498</v>
      </c>
      <c r="D46" s="99">
        <f t="shared" si="2"/>
        <v>-3157</v>
      </c>
      <c r="E46" s="99">
        <f t="shared" si="2"/>
        <v>1804</v>
      </c>
      <c r="F46" s="99">
        <f t="shared" si="2"/>
        <v>157</v>
      </c>
      <c r="G46" s="99">
        <f t="shared" si="2"/>
        <v>66</v>
      </c>
      <c r="H46" s="99">
        <f t="shared" si="2"/>
        <v>29</v>
      </c>
      <c r="I46" s="99">
        <f t="shared" si="2"/>
        <v>-318</v>
      </c>
      <c r="J46" s="99">
        <f t="shared" si="2"/>
        <v>11</v>
      </c>
      <c r="K46" s="100">
        <f t="shared" si="3"/>
        <v>90</v>
      </c>
    </row>
    <row r="47" spans="1:11" ht="12.75" customHeight="1" x14ac:dyDescent="0.25">
      <c r="B47" s="98" t="s">
        <v>34</v>
      </c>
      <c r="C47" s="99">
        <f t="shared" si="2"/>
        <v>3833</v>
      </c>
      <c r="D47" s="99">
        <f t="shared" si="2"/>
        <v>-2740</v>
      </c>
      <c r="E47" s="99">
        <f t="shared" si="2"/>
        <v>379</v>
      </c>
      <c r="F47" s="99">
        <f t="shared" si="2"/>
        <v>441</v>
      </c>
      <c r="G47" s="99">
        <f t="shared" si="2"/>
        <v>129</v>
      </c>
      <c r="H47" s="99">
        <f t="shared" si="2"/>
        <v>-66</v>
      </c>
      <c r="I47" s="99">
        <f t="shared" si="2"/>
        <v>-73</v>
      </c>
      <c r="J47" s="99">
        <f t="shared" si="2"/>
        <v>45</v>
      </c>
      <c r="K47" s="100">
        <f t="shared" si="3"/>
        <v>1948</v>
      </c>
    </row>
    <row r="48" spans="1:11" ht="12.75" customHeight="1" x14ac:dyDescent="0.25">
      <c r="B48" s="98" t="s">
        <v>37</v>
      </c>
      <c r="C48" s="99">
        <f t="shared" si="2"/>
        <v>4605</v>
      </c>
      <c r="D48" s="99">
        <f t="shared" si="2"/>
        <v>-5786</v>
      </c>
      <c r="E48" s="99">
        <f t="shared" si="2"/>
        <v>1646</v>
      </c>
      <c r="F48" s="99">
        <f t="shared" si="2"/>
        <v>716</v>
      </c>
      <c r="G48" s="99">
        <f t="shared" si="2"/>
        <v>142</v>
      </c>
      <c r="H48" s="99">
        <f t="shared" si="2"/>
        <v>-36</v>
      </c>
      <c r="I48" s="99">
        <f t="shared" si="2"/>
        <v>-247</v>
      </c>
      <c r="J48" s="99">
        <f t="shared" si="2"/>
        <v>73</v>
      </c>
      <c r="K48" s="100">
        <f t="shared" si="3"/>
        <v>1113</v>
      </c>
    </row>
    <row r="49" spans="1:11" ht="12.75" customHeight="1" x14ac:dyDescent="0.25">
      <c r="B49" s="98" t="s">
        <v>42</v>
      </c>
      <c r="C49" s="99">
        <f t="shared" si="2"/>
        <v>3536</v>
      </c>
      <c r="D49" s="99">
        <f t="shared" si="2"/>
        <v>-3408</v>
      </c>
      <c r="E49" s="99">
        <f t="shared" si="2"/>
        <v>1026</v>
      </c>
      <c r="F49" s="99">
        <f t="shared" si="2"/>
        <v>785</v>
      </c>
      <c r="G49" s="99">
        <f t="shared" si="2"/>
        <v>173</v>
      </c>
      <c r="H49" s="99">
        <f t="shared" si="2"/>
        <v>63</v>
      </c>
      <c r="I49" s="99">
        <f t="shared" si="2"/>
        <v>-137</v>
      </c>
      <c r="J49" s="99">
        <f t="shared" si="2"/>
        <v>50</v>
      </c>
      <c r="K49" s="100">
        <f t="shared" si="3"/>
        <v>2088</v>
      </c>
    </row>
    <row r="50" spans="1:11" ht="12.75" customHeight="1" x14ac:dyDescent="0.25">
      <c r="B50" s="98" t="s">
        <v>45</v>
      </c>
      <c r="C50" s="99">
        <f t="shared" si="2"/>
        <v>23487</v>
      </c>
      <c r="D50" s="99">
        <f t="shared" si="2"/>
        <v>-11806</v>
      </c>
      <c r="E50" s="99">
        <f t="shared" si="2"/>
        <v>1899</v>
      </c>
      <c r="F50" s="99">
        <f t="shared" si="2"/>
        <v>439</v>
      </c>
      <c r="G50" s="99">
        <f t="shared" si="2"/>
        <v>357</v>
      </c>
      <c r="H50" s="99">
        <f t="shared" si="2"/>
        <v>-94</v>
      </c>
      <c r="I50" s="99">
        <f t="shared" si="2"/>
        <v>-467</v>
      </c>
      <c r="J50" s="99">
        <f t="shared" si="2"/>
        <v>131</v>
      </c>
      <c r="K50" s="100">
        <f t="shared" si="3"/>
        <v>13946</v>
      </c>
    </row>
    <row r="52" spans="1:11" ht="12.75" customHeight="1" x14ac:dyDescent="0.25">
      <c r="A52" s="96" t="s">
        <v>98</v>
      </c>
      <c r="D52" s="101">
        <v>54</v>
      </c>
      <c r="E52" s="102" t="s">
        <v>99</v>
      </c>
      <c r="G52" s="103">
        <f>D52/3.6</f>
        <v>15</v>
      </c>
      <c r="H52" s="96" t="s">
        <v>100</v>
      </c>
    </row>
    <row r="54" spans="1:11" ht="12.75" customHeight="1" x14ac:dyDescent="0.25">
      <c r="A54" s="96" t="s">
        <v>101</v>
      </c>
    </row>
    <row r="55" spans="1:11" ht="12.75" customHeight="1" x14ac:dyDescent="0.25">
      <c r="B55" s="97" t="s">
        <v>85</v>
      </c>
      <c r="C55" s="97" t="s">
        <v>86</v>
      </c>
      <c r="D55" s="97" t="s">
        <v>87</v>
      </c>
      <c r="E55" s="97" t="s">
        <v>88</v>
      </c>
      <c r="F55" s="97" t="s">
        <v>89</v>
      </c>
      <c r="G55" s="97" t="s">
        <v>90</v>
      </c>
      <c r="H55" s="97" t="s">
        <v>91</v>
      </c>
      <c r="I55" s="97" t="s">
        <v>92</v>
      </c>
      <c r="J55" s="97" t="s">
        <v>93</v>
      </c>
      <c r="K55" s="96" t="s">
        <v>94</v>
      </c>
    </row>
    <row r="56" spans="1:11" ht="12.75" customHeight="1" x14ac:dyDescent="0.25">
      <c r="B56" s="98" t="s">
        <v>95</v>
      </c>
      <c r="C56" s="99">
        <f t="shared" ref="C56:J68" si="4">C38*$D$52</f>
        <v>30442770</v>
      </c>
      <c r="D56" s="99">
        <f t="shared" si="4"/>
        <v>-23651298</v>
      </c>
      <c r="E56" s="99">
        <f t="shared" si="4"/>
        <v>13073670</v>
      </c>
      <c r="F56" s="99">
        <f t="shared" si="4"/>
        <v>765882</v>
      </c>
      <c r="G56" s="99">
        <f t="shared" si="4"/>
        <v>1083834</v>
      </c>
      <c r="H56" s="99">
        <f t="shared" si="4"/>
        <v>8478</v>
      </c>
      <c r="I56" s="99">
        <f t="shared" si="4"/>
        <v>-5132538</v>
      </c>
      <c r="J56" s="99">
        <f t="shared" si="4"/>
        <v>305910</v>
      </c>
      <c r="K56" s="100">
        <f t="shared" ref="K56:K68" si="5">SUM(C56:J56)</f>
        <v>16896708</v>
      </c>
    </row>
    <row r="57" spans="1:11" ht="12.75" customHeight="1" x14ac:dyDescent="0.25">
      <c r="B57" s="98" t="s">
        <v>55</v>
      </c>
      <c r="C57" s="99">
        <f t="shared" si="4"/>
        <v>3225906</v>
      </c>
      <c r="D57" s="99">
        <f t="shared" si="4"/>
        <v>-2679966</v>
      </c>
      <c r="E57" s="99">
        <f t="shared" si="4"/>
        <v>788346</v>
      </c>
      <c r="F57" s="99">
        <f t="shared" si="4"/>
        <v>270378</v>
      </c>
      <c r="G57" s="99">
        <f t="shared" si="4"/>
        <v>109728</v>
      </c>
      <c r="H57" s="99">
        <f t="shared" si="4"/>
        <v>-13662</v>
      </c>
      <c r="I57" s="99">
        <f t="shared" si="4"/>
        <v>-122040</v>
      </c>
      <c r="J57" s="99">
        <f t="shared" si="4"/>
        <v>21762</v>
      </c>
      <c r="K57" s="100">
        <f t="shared" si="5"/>
        <v>1600452</v>
      </c>
    </row>
    <row r="58" spans="1:11" ht="12.75" customHeight="1" x14ac:dyDescent="0.25">
      <c r="B58" s="98" t="s">
        <v>19</v>
      </c>
      <c r="C58" s="99">
        <f t="shared" si="4"/>
        <v>181386</v>
      </c>
      <c r="D58" s="99">
        <f t="shared" si="4"/>
        <v>-132786</v>
      </c>
      <c r="E58" s="99">
        <f t="shared" si="4"/>
        <v>14310</v>
      </c>
      <c r="F58" s="99">
        <f t="shared" si="4"/>
        <v>21114</v>
      </c>
      <c r="G58" s="99">
        <f t="shared" si="4"/>
        <v>7236</v>
      </c>
      <c r="H58" s="99">
        <f t="shared" si="4"/>
        <v>-4806</v>
      </c>
      <c r="I58" s="99">
        <f t="shared" si="4"/>
        <v>-6210</v>
      </c>
      <c r="J58" s="99">
        <f t="shared" si="4"/>
        <v>540</v>
      </c>
      <c r="K58" s="100">
        <f t="shared" si="5"/>
        <v>80784</v>
      </c>
    </row>
    <row r="59" spans="1:11" ht="12.75" customHeight="1" x14ac:dyDescent="0.25">
      <c r="B59" s="98" t="s">
        <v>22</v>
      </c>
      <c r="C59" s="99">
        <f t="shared" si="4"/>
        <v>305046</v>
      </c>
      <c r="D59" s="99">
        <f t="shared" si="4"/>
        <v>-359100</v>
      </c>
      <c r="E59" s="99">
        <f t="shared" si="4"/>
        <v>124794</v>
      </c>
      <c r="F59" s="99">
        <f t="shared" si="4"/>
        <v>-1026</v>
      </c>
      <c r="G59" s="99">
        <f t="shared" si="4"/>
        <v>26244</v>
      </c>
      <c r="H59" s="99">
        <f t="shared" si="4"/>
        <v>-9612</v>
      </c>
      <c r="I59" s="99">
        <f t="shared" si="4"/>
        <v>-13014</v>
      </c>
      <c r="J59" s="99">
        <f t="shared" si="4"/>
        <v>648</v>
      </c>
      <c r="K59" s="100">
        <f t="shared" si="5"/>
        <v>73980</v>
      </c>
    </row>
    <row r="60" spans="1:11" ht="12.75" customHeight="1" x14ac:dyDescent="0.25">
      <c r="B60" s="98" t="s">
        <v>26</v>
      </c>
      <c r="C60" s="99">
        <f t="shared" si="4"/>
        <v>313470</v>
      </c>
      <c r="D60" s="99">
        <f t="shared" si="4"/>
        <v>-287712</v>
      </c>
      <c r="E60" s="99">
        <f t="shared" si="4"/>
        <v>61074</v>
      </c>
      <c r="F60" s="99">
        <f t="shared" si="4"/>
        <v>67014</v>
      </c>
      <c r="G60" s="99">
        <f t="shared" si="4"/>
        <v>11178</v>
      </c>
      <c r="H60" s="99">
        <f t="shared" si="4"/>
        <v>1998</v>
      </c>
      <c r="I60" s="99">
        <f t="shared" si="4"/>
        <v>-13500</v>
      </c>
      <c r="J60" s="99">
        <f t="shared" si="4"/>
        <v>594</v>
      </c>
      <c r="K60" s="100">
        <f t="shared" si="5"/>
        <v>154116</v>
      </c>
    </row>
    <row r="61" spans="1:11" ht="12.75" customHeight="1" x14ac:dyDescent="0.25">
      <c r="B61" s="98" t="s">
        <v>17</v>
      </c>
      <c r="C61" s="99">
        <f t="shared" si="4"/>
        <v>175878</v>
      </c>
      <c r="D61" s="99">
        <f t="shared" si="4"/>
        <v>-182358</v>
      </c>
      <c r="E61" s="99">
        <f t="shared" si="4"/>
        <v>98010</v>
      </c>
      <c r="F61" s="99">
        <f t="shared" si="4"/>
        <v>15822</v>
      </c>
      <c r="G61" s="99">
        <f t="shared" si="4"/>
        <v>10044</v>
      </c>
      <c r="H61" s="99">
        <f t="shared" si="4"/>
        <v>11394</v>
      </c>
      <c r="I61" s="99">
        <f t="shared" si="4"/>
        <v>-6048</v>
      </c>
      <c r="J61" s="99">
        <f t="shared" si="4"/>
        <v>918</v>
      </c>
      <c r="K61" s="100">
        <f t="shared" si="5"/>
        <v>123660</v>
      </c>
    </row>
    <row r="62" spans="1:11" ht="12.75" customHeight="1" x14ac:dyDescent="0.25">
      <c r="B62" s="98" t="s">
        <v>28</v>
      </c>
      <c r="C62" s="99">
        <f t="shared" si="4"/>
        <v>11016</v>
      </c>
      <c r="D62" s="99">
        <f t="shared" si="4"/>
        <v>-13554</v>
      </c>
      <c r="E62" s="99">
        <f t="shared" si="4"/>
        <v>0</v>
      </c>
      <c r="F62" s="99">
        <f t="shared" si="4"/>
        <v>5562</v>
      </c>
      <c r="G62" s="99">
        <f t="shared" si="4"/>
        <v>864</v>
      </c>
      <c r="H62" s="99">
        <f t="shared" si="4"/>
        <v>2052</v>
      </c>
      <c r="I62" s="99">
        <f t="shared" si="4"/>
        <v>-6480</v>
      </c>
      <c r="J62" s="99">
        <f t="shared" si="4"/>
        <v>54</v>
      </c>
      <c r="K62" s="100">
        <f t="shared" si="5"/>
        <v>-486</v>
      </c>
    </row>
    <row r="63" spans="1:11" ht="12.75" customHeight="1" x14ac:dyDescent="0.25">
      <c r="B63" s="98" t="s">
        <v>51</v>
      </c>
      <c r="C63" s="99">
        <f t="shared" si="4"/>
        <v>243324</v>
      </c>
      <c r="D63" s="99">
        <f t="shared" si="4"/>
        <v>-252018</v>
      </c>
      <c r="E63" s="99">
        <f t="shared" si="4"/>
        <v>125442</v>
      </c>
      <c r="F63" s="99">
        <f t="shared" si="4"/>
        <v>24840</v>
      </c>
      <c r="G63" s="99">
        <f t="shared" si="4"/>
        <v>7344</v>
      </c>
      <c r="H63" s="99">
        <f t="shared" si="4"/>
        <v>-9072</v>
      </c>
      <c r="I63" s="99">
        <f t="shared" si="4"/>
        <v>-9720</v>
      </c>
      <c r="J63" s="99">
        <f t="shared" si="4"/>
        <v>2268</v>
      </c>
      <c r="K63" s="100">
        <f t="shared" si="5"/>
        <v>132408</v>
      </c>
    </row>
    <row r="64" spans="1:11" ht="12.75" customHeight="1" x14ac:dyDescent="0.25">
      <c r="B64" s="98" t="s">
        <v>30</v>
      </c>
      <c r="C64" s="99">
        <f t="shared" si="4"/>
        <v>80892</v>
      </c>
      <c r="D64" s="99">
        <f t="shared" si="4"/>
        <v>-170478</v>
      </c>
      <c r="E64" s="99">
        <f t="shared" si="4"/>
        <v>97416</v>
      </c>
      <c r="F64" s="99">
        <f t="shared" si="4"/>
        <v>8478</v>
      </c>
      <c r="G64" s="99">
        <f t="shared" si="4"/>
        <v>3564</v>
      </c>
      <c r="H64" s="99">
        <f t="shared" si="4"/>
        <v>1566</v>
      </c>
      <c r="I64" s="99">
        <f t="shared" si="4"/>
        <v>-17172</v>
      </c>
      <c r="J64" s="99">
        <f t="shared" si="4"/>
        <v>594</v>
      </c>
      <c r="K64" s="100">
        <f t="shared" si="5"/>
        <v>4860</v>
      </c>
    </row>
    <row r="65" spans="1:24" ht="12.75" customHeight="1" x14ac:dyDescent="0.25">
      <c r="B65" s="98" t="s">
        <v>34</v>
      </c>
      <c r="C65" s="99">
        <f t="shared" si="4"/>
        <v>206982</v>
      </c>
      <c r="D65" s="99">
        <f t="shared" si="4"/>
        <v>-147960</v>
      </c>
      <c r="E65" s="99">
        <f t="shared" si="4"/>
        <v>20466</v>
      </c>
      <c r="F65" s="99">
        <f t="shared" si="4"/>
        <v>23814</v>
      </c>
      <c r="G65" s="99">
        <f t="shared" si="4"/>
        <v>6966</v>
      </c>
      <c r="H65" s="99">
        <f t="shared" si="4"/>
        <v>-3564</v>
      </c>
      <c r="I65" s="99">
        <f t="shared" si="4"/>
        <v>-3942</v>
      </c>
      <c r="J65" s="99">
        <f t="shared" si="4"/>
        <v>2430</v>
      </c>
      <c r="K65" s="100">
        <f t="shared" si="5"/>
        <v>105192</v>
      </c>
    </row>
    <row r="66" spans="1:24" ht="12.75" customHeight="1" x14ac:dyDescent="0.25">
      <c r="B66" s="98" t="s">
        <v>37</v>
      </c>
      <c r="C66" s="99">
        <f t="shared" si="4"/>
        <v>248670</v>
      </c>
      <c r="D66" s="99">
        <f t="shared" si="4"/>
        <v>-312444</v>
      </c>
      <c r="E66" s="99">
        <f t="shared" si="4"/>
        <v>88884</v>
      </c>
      <c r="F66" s="99">
        <f t="shared" si="4"/>
        <v>38664</v>
      </c>
      <c r="G66" s="99">
        <f t="shared" si="4"/>
        <v>7668</v>
      </c>
      <c r="H66" s="99">
        <f t="shared" si="4"/>
        <v>-1944</v>
      </c>
      <c r="I66" s="99">
        <f t="shared" si="4"/>
        <v>-13338</v>
      </c>
      <c r="J66" s="99">
        <f t="shared" si="4"/>
        <v>3942</v>
      </c>
      <c r="K66" s="100">
        <f t="shared" si="5"/>
        <v>60102</v>
      </c>
    </row>
    <row r="67" spans="1:24" ht="12.75" customHeight="1" x14ac:dyDescent="0.25">
      <c r="B67" s="98" t="s">
        <v>42</v>
      </c>
      <c r="C67" s="99">
        <f t="shared" si="4"/>
        <v>190944</v>
      </c>
      <c r="D67" s="99">
        <f t="shared" si="4"/>
        <v>-184032</v>
      </c>
      <c r="E67" s="99">
        <f t="shared" si="4"/>
        <v>55404</v>
      </c>
      <c r="F67" s="99">
        <f t="shared" si="4"/>
        <v>42390</v>
      </c>
      <c r="G67" s="99">
        <f t="shared" si="4"/>
        <v>9342</v>
      </c>
      <c r="H67" s="99">
        <f t="shared" si="4"/>
        <v>3402</v>
      </c>
      <c r="I67" s="99">
        <f t="shared" si="4"/>
        <v>-7398</v>
      </c>
      <c r="J67" s="99">
        <f t="shared" si="4"/>
        <v>2700</v>
      </c>
      <c r="K67" s="100">
        <f t="shared" si="5"/>
        <v>112752</v>
      </c>
    </row>
    <row r="68" spans="1:24" ht="12.75" customHeight="1" x14ac:dyDescent="0.25">
      <c r="B68" s="98" t="s">
        <v>45</v>
      </c>
      <c r="C68" s="99">
        <f t="shared" si="4"/>
        <v>1268298</v>
      </c>
      <c r="D68" s="99">
        <f t="shared" si="4"/>
        <v>-637524</v>
      </c>
      <c r="E68" s="99">
        <f t="shared" si="4"/>
        <v>102546</v>
      </c>
      <c r="F68" s="99">
        <f t="shared" si="4"/>
        <v>23706</v>
      </c>
      <c r="G68" s="99">
        <f t="shared" si="4"/>
        <v>19278</v>
      </c>
      <c r="H68" s="99">
        <f t="shared" si="4"/>
        <v>-5076</v>
      </c>
      <c r="I68" s="99">
        <f t="shared" si="4"/>
        <v>-25218</v>
      </c>
      <c r="J68" s="99">
        <f t="shared" si="4"/>
        <v>7074</v>
      </c>
      <c r="K68" s="100">
        <f t="shared" si="5"/>
        <v>753084</v>
      </c>
    </row>
    <row r="70" spans="1:24" ht="12.75" customHeight="1" x14ac:dyDescent="0.25">
      <c r="A70" s="96" t="s">
        <v>102</v>
      </c>
      <c r="O70" s="96" t="s">
        <v>103</v>
      </c>
    </row>
    <row r="71" spans="1:24" ht="12.75" customHeight="1" x14ac:dyDescent="0.25">
      <c r="B71" s="97" t="s">
        <v>85</v>
      </c>
      <c r="C71" s="97" t="s">
        <v>86</v>
      </c>
      <c r="D71" s="97" t="s">
        <v>87</v>
      </c>
      <c r="E71" s="97" t="s">
        <v>88</v>
      </c>
      <c r="F71" s="97" t="s">
        <v>89</v>
      </c>
      <c r="G71" s="97" t="s">
        <v>90</v>
      </c>
      <c r="H71" s="97" t="s">
        <v>91</v>
      </c>
      <c r="I71" s="97" t="s">
        <v>92</v>
      </c>
      <c r="J71" s="97" t="s">
        <v>93</v>
      </c>
      <c r="K71" s="96" t="s">
        <v>94</v>
      </c>
      <c r="O71" s="96" t="s">
        <v>104</v>
      </c>
      <c r="P71" s="96" t="s">
        <v>86</v>
      </c>
      <c r="Q71" s="96" t="s">
        <v>105</v>
      </c>
      <c r="R71" s="96" t="s">
        <v>1</v>
      </c>
      <c r="S71" s="96" t="s">
        <v>106</v>
      </c>
      <c r="T71" s="96" t="s">
        <v>107</v>
      </c>
      <c r="U71" s="96" t="s">
        <v>0</v>
      </c>
      <c r="V71" s="96" t="s">
        <v>91</v>
      </c>
      <c r="W71" s="96" t="s">
        <v>108</v>
      </c>
      <c r="X71" s="96" t="s">
        <v>109</v>
      </c>
    </row>
    <row r="72" spans="1:24" ht="12.75" customHeight="1" x14ac:dyDescent="0.25">
      <c r="B72" s="98" t="s">
        <v>95</v>
      </c>
      <c r="C72" s="99"/>
      <c r="D72" s="99"/>
      <c r="E72" s="99"/>
      <c r="F72" s="99"/>
      <c r="G72" s="99"/>
      <c r="H72" s="99"/>
      <c r="I72" s="99"/>
      <c r="J72" s="99"/>
      <c r="K72" s="100"/>
      <c r="O72" s="96" t="s">
        <v>95</v>
      </c>
      <c r="P72" s="104"/>
      <c r="Q72" s="104"/>
      <c r="R72" s="104"/>
      <c r="S72" s="104"/>
      <c r="T72" s="104"/>
      <c r="U72" s="104"/>
      <c r="V72" s="104"/>
      <c r="W72" s="104"/>
      <c r="X72" s="104"/>
    </row>
    <row r="73" spans="1:24" ht="12.75" customHeight="1" x14ac:dyDescent="0.25">
      <c r="B73" s="98" t="s">
        <v>55</v>
      </c>
      <c r="C73" s="99">
        <f t="shared" ref="C73:C84" si="6">ROUND(P73,2)</f>
        <v>14278.03</v>
      </c>
      <c r="D73" s="99">
        <f t="shared" ref="D73:D84" si="7">ROUND(R73,2)</f>
        <v>2085.66</v>
      </c>
      <c r="E73" s="99">
        <f t="shared" ref="E73:E84" si="8">ROUND(Q73,2)</f>
        <v>1292.1199999999999</v>
      </c>
      <c r="F73" s="99">
        <f t="shared" ref="F73:F84" si="9">ROUND(T73+S73+U73,2)</f>
        <v>5030.29</v>
      </c>
      <c r="G73" s="99">
        <f t="shared" ref="G73:G84" si="10">ROUND(W73,2)</f>
        <v>43.31</v>
      </c>
      <c r="H73" s="99">
        <f t="shared" ref="H73:H84" si="11">ROUND(V73,2)</f>
        <v>479.88</v>
      </c>
      <c r="I73" s="99">
        <f t="shared" ref="I73:I84" si="12">ROUND(X73,2)</f>
        <v>58.7</v>
      </c>
      <c r="J73" s="99"/>
      <c r="K73" s="100">
        <f>SUM(C73:J73)</f>
        <v>23267.990000000005</v>
      </c>
      <c r="O73" s="96" t="str">
        <f t="shared" ref="O73:O84" si="13">B73</f>
        <v>Region Nordjylland</v>
      </c>
      <c r="P73" s="104">
        <v>14278.03369456668</v>
      </c>
      <c r="Q73" s="104">
        <v>1292.1190000000001</v>
      </c>
      <c r="R73" s="104">
        <v>2085.66</v>
      </c>
      <c r="S73" s="104">
        <v>1697.6227500000002</v>
      </c>
      <c r="T73" s="104">
        <v>2435.7556600000003</v>
      </c>
      <c r="U73" s="104">
        <v>896.90873999999997</v>
      </c>
      <c r="V73" s="104">
        <v>479.87885509091501</v>
      </c>
      <c r="W73" s="104">
        <v>43.307800280611801</v>
      </c>
      <c r="X73" s="104">
        <v>58.7</v>
      </c>
    </row>
    <row r="74" spans="1:24" ht="12.75" customHeight="1" x14ac:dyDescent="0.25">
      <c r="B74" s="98" t="s">
        <v>19</v>
      </c>
      <c r="C74" s="99">
        <f t="shared" si="6"/>
        <v>775.31</v>
      </c>
      <c r="D74" s="99">
        <f t="shared" si="7"/>
        <v>86.76</v>
      </c>
      <c r="E74" s="99">
        <f t="shared" si="8"/>
        <v>37.26</v>
      </c>
      <c r="F74" s="99">
        <f t="shared" si="9"/>
        <v>240.45</v>
      </c>
      <c r="G74" s="99">
        <f t="shared" si="10"/>
        <v>4.25</v>
      </c>
      <c r="H74" s="99">
        <f t="shared" si="11"/>
        <v>13.41</v>
      </c>
      <c r="I74" s="99">
        <f t="shared" si="12"/>
        <v>4.12</v>
      </c>
      <c r="J74" s="99"/>
      <c r="K74" s="100">
        <f>SUM(C74:J74)</f>
        <v>1161.56</v>
      </c>
      <c r="O74" s="96" t="str">
        <f t="shared" si="13"/>
        <v>Brønderslev</v>
      </c>
      <c r="P74" s="104">
        <v>775.30980981532218</v>
      </c>
      <c r="Q74" s="104">
        <v>37.2628670954401</v>
      </c>
      <c r="R74" s="104">
        <v>86.76</v>
      </c>
      <c r="S74" s="104">
        <v>82.572150000000008</v>
      </c>
      <c r="T74" s="104">
        <v>94.687840000000008</v>
      </c>
      <c r="U74" s="104">
        <v>63.190400000000011</v>
      </c>
      <c r="V74" s="104">
        <v>13.406869888579076</v>
      </c>
      <c r="W74" s="104">
        <v>4.2547007765574492</v>
      </c>
      <c r="X74" s="104">
        <v>4.122711927401121</v>
      </c>
    </row>
    <row r="75" spans="1:24" ht="12.75" customHeight="1" x14ac:dyDescent="0.25">
      <c r="B75" s="98" t="s">
        <v>22</v>
      </c>
      <c r="C75" s="99">
        <f t="shared" si="6"/>
        <v>1398.18</v>
      </c>
      <c r="D75" s="99">
        <f t="shared" si="7"/>
        <v>236.28</v>
      </c>
      <c r="E75" s="99">
        <f t="shared" si="8"/>
        <v>220.39</v>
      </c>
      <c r="F75" s="99">
        <f t="shared" si="9"/>
        <v>447.91</v>
      </c>
      <c r="G75" s="99">
        <f t="shared" si="10"/>
        <v>4.05</v>
      </c>
      <c r="H75" s="99">
        <f t="shared" si="11"/>
        <v>84.44</v>
      </c>
      <c r="I75" s="99">
        <f t="shared" si="12"/>
        <v>6.47</v>
      </c>
      <c r="J75" s="99"/>
      <c r="K75" s="100">
        <f>SUM(C75:J75)</f>
        <v>2397.7199999999998</v>
      </c>
      <c r="O75" s="96" t="str">
        <f t="shared" si="13"/>
        <v>Frederikshavn</v>
      </c>
      <c r="P75" s="104">
        <v>1398.18</v>
      </c>
      <c r="Q75" s="104">
        <v>220.392193204075</v>
      </c>
      <c r="R75" s="104">
        <v>236.27999999999997</v>
      </c>
      <c r="S75" s="104">
        <v>121.17015000000001</v>
      </c>
      <c r="T75" s="104">
        <v>257.23230000000001</v>
      </c>
      <c r="U75" s="104">
        <v>69.509439999999998</v>
      </c>
      <c r="V75" s="104">
        <v>84.444942480020757</v>
      </c>
      <c r="W75" s="104">
        <v>4.0502993994041114</v>
      </c>
      <c r="X75" s="104">
        <v>6.4707914778221713</v>
      </c>
    </row>
    <row r="76" spans="1:24" ht="12.75" customHeight="1" x14ac:dyDescent="0.25">
      <c r="B76" s="98" t="s">
        <v>26</v>
      </c>
      <c r="C76" s="99">
        <f t="shared" si="6"/>
        <v>1548.93</v>
      </c>
      <c r="D76" s="99">
        <f t="shared" si="7"/>
        <v>345.6</v>
      </c>
      <c r="E76" s="99">
        <f t="shared" si="8"/>
        <v>113.05</v>
      </c>
      <c r="F76" s="99">
        <f t="shared" si="9"/>
        <v>645.4</v>
      </c>
      <c r="G76" s="99">
        <f t="shared" si="10"/>
        <v>4.8</v>
      </c>
      <c r="H76" s="99">
        <f t="shared" si="11"/>
        <v>88.67</v>
      </c>
      <c r="I76" s="99">
        <f t="shared" si="12"/>
        <v>8.3000000000000007</v>
      </c>
      <c r="J76" s="99"/>
      <c r="K76" s="100">
        <f>SUM(C76:J76)</f>
        <v>2754.7500000000005</v>
      </c>
      <c r="O76" s="96" t="str">
        <f t="shared" si="13"/>
        <v>Hjørring</v>
      </c>
      <c r="P76" s="104">
        <v>1548.9267580258052</v>
      </c>
      <c r="Q76" s="104">
        <v>113.05</v>
      </c>
      <c r="R76" s="104">
        <v>345.6</v>
      </c>
      <c r="S76" s="104">
        <v>242.20245000000003</v>
      </c>
      <c r="T76" s="104">
        <v>310.78313499999996</v>
      </c>
      <c r="U76" s="104">
        <v>92.415960000000013</v>
      </c>
      <c r="V76" s="104">
        <v>88.666666666666671</v>
      </c>
      <c r="W76" s="104">
        <v>4.8</v>
      </c>
      <c r="X76" s="104">
        <v>8.3000000000000007</v>
      </c>
    </row>
    <row r="77" spans="1:24" ht="12.75" customHeight="1" x14ac:dyDescent="0.25">
      <c r="B77" s="98" t="s">
        <v>17</v>
      </c>
      <c r="C77" s="99">
        <f t="shared" si="6"/>
        <v>504.2</v>
      </c>
      <c r="D77" s="99">
        <f t="shared" si="7"/>
        <v>194.7</v>
      </c>
      <c r="E77" s="99">
        <f t="shared" si="8"/>
        <v>146.88</v>
      </c>
      <c r="F77" s="99">
        <f t="shared" si="9"/>
        <v>535.21</v>
      </c>
      <c r="G77" s="99">
        <f t="shared" si="10"/>
        <v>3.14</v>
      </c>
      <c r="H77" s="99">
        <f t="shared" si="11"/>
        <v>91.21</v>
      </c>
      <c r="I77" s="99">
        <f t="shared" si="12"/>
        <v>6.07</v>
      </c>
      <c r="J77" s="99"/>
      <c r="K77" s="100">
        <f t="shared" ref="K77:K84" si="14">SUM(C77:J77)</f>
        <v>1481.41</v>
      </c>
      <c r="O77" s="96" t="str">
        <f t="shared" si="13"/>
        <v>Jammerbugt</v>
      </c>
      <c r="P77" s="104">
        <v>504.20346546894029</v>
      </c>
      <c r="Q77" s="104">
        <v>146.87867524016437</v>
      </c>
      <c r="R77" s="104">
        <v>194.7</v>
      </c>
      <c r="S77" s="104">
        <v>174.65595000000002</v>
      </c>
      <c r="T77" s="104">
        <v>274.84782000000001</v>
      </c>
      <c r="U77" s="104">
        <v>85.701980000000006</v>
      </c>
      <c r="V77" s="104">
        <v>91.213963938047755</v>
      </c>
      <c r="W77" s="104">
        <v>3.1432268794880782</v>
      </c>
      <c r="X77" s="104">
        <v>6.0746326455631445</v>
      </c>
    </row>
    <row r="78" spans="1:24" ht="12.75" customHeight="1" x14ac:dyDescent="0.25">
      <c r="B78" s="98" t="s">
        <v>28</v>
      </c>
      <c r="C78" s="99">
        <f t="shared" si="6"/>
        <v>20.76</v>
      </c>
      <c r="D78" s="99">
        <f t="shared" si="7"/>
        <v>26.76</v>
      </c>
      <c r="E78" s="99">
        <f t="shared" si="8"/>
        <v>0</v>
      </c>
      <c r="F78" s="99">
        <f t="shared" si="9"/>
        <v>23.25</v>
      </c>
      <c r="G78" s="99">
        <f t="shared" si="10"/>
        <v>0.84</v>
      </c>
      <c r="H78" s="99">
        <f t="shared" si="11"/>
        <v>7.1</v>
      </c>
      <c r="I78" s="99">
        <f t="shared" si="12"/>
        <v>0.7</v>
      </c>
      <c r="J78" s="99"/>
      <c r="K78" s="100">
        <f t="shared" si="14"/>
        <v>79.410000000000011</v>
      </c>
      <c r="O78" s="96" t="str">
        <f t="shared" si="13"/>
        <v>Læsø</v>
      </c>
      <c r="P78" s="104">
        <v>20.7574754205</v>
      </c>
      <c r="Q78" s="104">
        <v>0</v>
      </c>
      <c r="R78" s="104">
        <v>26.759999999999994</v>
      </c>
      <c r="S78" s="104">
        <v>2.4813000000000001</v>
      </c>
      <c r="T78" s="104">
        <v>19.975605000000002</v>
      </c>
      <c r="U78" s="104">
        <v>0.78988000000000003</v>
      </c>
      <c r="V78" s="104">
        <v>7.1028559128005373</v>
      </c>
      <c r="W78" s="104">
        <v>0.84459860973187673</v>
      </c>
      <c r="X78" s="104">
        <v>0.7</v>
      </c>
    </row>
    <row r="79" spans="1:24" ht="12.75" customHeight="1" x14ac:dyDescent="0.25">
      <c r="B79" s="98" t="s">
        <v>51</v>
      </c>
      <c r="C79" s="99">
        <f t="shared" si="6"/>
        <v>669.92</v>
      </c>
      <c r="D79" s="99">
        <f t="shared" si="7"/>
        <v>171.54</v>
      </c>
      <c r="E79" s="99">
        <f t="shared" si="8"/>
        <v>176.97</v>
      </c>
      <c r="F79" s="99">
        <f t="shared" si="9"/>
        <v>495.91</v>
      </c>
      <c r="G79" s="99">
        <f t="shared" si="10"/>
        <v>2.2799999999999998</v>
      </c>
      <c r="H79" s="99">
        <f t="shared" si="11"/>
        <v>33.270000000000003</v>
      </c>
      <c r="I79" s="99">
        <f t="shared" si="12"/>
        <v>6.17</v>
      </c>
      <c r="J79" s="99"/>
      <c r="K79" s="100">
        <f t="shared" si="14"/>
        <v>1556.06</v>
      </c>
      <c r="O79" s="96" t="str">
        <f t="shared" si="13"/>
        <v>Mariagerfjord</v>
      </c>
      <c r="P79" s="104">
        <v>669.9179424330348</v>
      </c>
      <c r="Q79" s="104">
        <v>176.97288905747055</v>
      </c>
      <c r="R79" s="104">
        <v>171.54</v>
      </c>
      <c r="S79" s="104">
        <v>177.41295000000002</v>
      </c>
      <c r="T79" s="104">
        <v>237.53495999999998</v>
      </c>
      <c r="U79" s="104">
        <v>80.962699999999998</v>
      </c>
      <c r="V79" s="104">
        <v>33.269655015788032</v>
      </c>
      <c r="W79" s="104">
        <v>2.2822606932573501</v>
      </c>
      <c r="X79" s="104">
        <v>6.1676203426146268</v>
      </c>
    </row>
    <row r="80" spans="1:24" ht="12.75" customHeight="1" x14ac:dyDescent="0.25">
      <c r="B80" s="98" t="s">
        <v>30</v>
      </c>
      <c r="C80" s="99">
        <f t="shared" si="6"/>
        <v>206.96</v>
      </c>
      <c r="D80" s="99">
        <f t="shared" si="7"/>
        <v>137.22</v>
      </c>
      <c r="E80" s="99">
        <f t="shared" si="8"/>
        <v>163.93</v>
      </c>
      <c r="F80" s="99">
        <f t="shared" si="9"/>
        <v>319.18</v>
      </c>
      <c r="G80" s="99">
        <f t="shared" si="10"/>
        <v>2.97</v>
      </c>
      <c r="H80" s="99">
        <f t="shared" si="11"/>
        <v>15.85</v>
      </c>
      <c r="I80" s="99">
        <f t="shared" si="12"/>
        <v>4.08</v>
      </c>
      <c r="J80" s="99"/>
      <c r="K80" s="100">
        <f t="shared" si="14"/>
        <v>850.19</v>
      </c>
      <c r="O80" s="96" t="str">
        <f t="shared" si="13"/>
        <v>Morsø</v>
      </c>
      <c r="P80" s="104">
        <v>206.9572512280173</v>
      </c>
      <c r="Q80" s="104">
        <v>163.93472556474117</v>
      </c>
      <c r="R80" s="104">
        <v>137.22</v>
      </c>
      <c r="S80" s="104">
        <v>132.19815</v>
      </c>
      <c r="T80" s="104">
        <v>90.219674999999995</v>
      </c>
      <c r="U80" s="104">
        <v>96.760299999999987</v>
      </c>
      <c r="V80" s="104">
        <v>15.845683199116301</v>
      </c>
      <c r="W80" s="104">
        <v>2.9738180203310574</v>
      </c>
      <c r="X80" s="104">
        <v>4.08</v>
      </c>
    </row>
    <row r="81" spans="1:26" ht="12.75" customHeight="1" x14ac:dyDescent="0.25">
      <c r="B81" s="98" t="s">
        <v>34</v>
      </c>
      <c r="C81" s="99">
        <f t="shared" si="6"/>
        <v>521.23</v>
      </c>
      <c r="D81" s="99">
        <f t="shared" si="7"/>
        <v>134.28</v>
      </c>
      <c r="E81" s="99">
        <f t="shared" si="8"/>
        <v>42.42</v>
      </c>
      <c r="F81" s="99">
        <f t="shared" si="9"/>
        <v>372.1</v>
      </c>
      <c r="G81" s="99">
        <f t="shared" si="10"/>
        <v>3.1</v>
      </c>
      <c r="H81" s="99">
        <f t="shared" si="11"/>
        <v>12.63</v>
      </c>
      <c r="I81" s="99">
        <f t="shared" si="12"/>
        <v>4.07</v>
      </c>
      <c r="J81" s="99"/>
      <c r="K81" s="100">
        <f t="shared" si="14"/>
        <v>1089.83</v>
      </c>
      <c r="O81" s="96" t="str">
        <f t="shared" si="13"/>
        <v>Rebild</v>
      </c>
      <c r="P81" s="104">
        <v>521.22998976444001</v>
      </c>
      <c r="Q81" s="104">
        <v>42.419250000000005</v>
      </c>
      <c r="R81" s="104">
        <v>134.28</v>
      </c>
      <c r="S81" s="104">
        <v>108.3501</v>
      </c>
      <c r="T81" s="104">
        <v>180.81726000000003</v>
      </c>
      <c r="U81" s="104">
        <v>82.937399999999997</v>
      </c>
      <c r="V81" s="104">
        <v>12.631312043411262</v>
      </c>
      <c r="W81" s="104">
        <v>3.100821985202864</v>
      </c>
      <c r="X81" s="104">
        <v>4.0669437319516124</v>
      </c>
    </row>
    <row r="82" spans="1:26" ht="12.75" customHeight="1" x14ac:dyDescent="0.25">
      <c r="B82" s="98" t="s">
        <v>37</v>
      </c>
      <c r="C82" s="99">
        <f t="shared" si="6"/>
        <v>988.88</v>
      </c>
      <c r="D82" s="99">
        <f t="shared" si="7"/>
        <v>214.56</v>
      </c>
      <c r="E82" s="99">
        <f t="shared" si="8"/>
        <v>131.77000000000001</v>
      </c>
      <c r="F82" s="99">
        <f t="shared" si="9"/>
        <v>524.92999999999995</v>
      </c>
      <c r="G82" s="99">
        <f t="shared" si="10"/>
        <v>6.01</v>
      </c>
      <c r="H82" s="99">
        <f t="shared" si="11"/>
        <v>46.55</v>
      </c>
      <c r="I82" s="99">
        <f t="shared" si="12"/>
        <v>6.24</v>
      </c>
      <c r="J82" s="99"/>
      <c r="K82" s="100">
        <f t="shared" si="14"/>
        <v>1918.9399999999998</v>
      </c>
      <c r="O82" s="96" t="str">
        <f t="shared" si="13"/>
        <v>Thisted</v>
      </c>
      <c r="P82" s="104">
        <v>988.87650574752445</v>
      </c>
      <c r="Q82" s="104">
        <v>131.77294999999998</v>
      </c>
      <c r="R82" s="104">
        <v>214.56</v>
      </c>
      <c r="S82" s="104">
        <v>196.98765000000003</v>
      </c>
      <c r="T82" s="104">
        <v>226.84239500000001</v>
      </c>
      <c r="U82" s="104">
        <v>101.10464</v>
      </c>
      <c r="V82" s="104">
        <v>46.550171820936839</v>
      </c>
      <c r="W82" s="104">
        <v>6.0114299001823808</v>
      </c>
      <c r="X82" s="104">
        <v>6.2392070423940842</v>
      </c>
    </row>
    <row r="83" spans="1:26" ht="12.75" customHeight="1" x14ac:dyDescent="0.25">
      <c r="B83" s="98" t="s">
        <v>42</v>
      </c>
      <c r="C83" s="99">
        <f t="shared" si="6"/>
        <v>822.45</v>
      </c>
      <c r="D83" s="99">
        <f t="shared" si="7"/>
        <v>307.8</v>
      </c>
      <c r="E83" s="99">
        <f t="shared" si="8"/>
        <v>93.59</v>
      </c>
      <c r="F83" s="99">
        <f t="shared" si="9"/>
        <v>693.33</v>
      </c>
      <c r="G83" s="99">
        <f t="shared" si="10"/>
        <v>3.34</v>
      </c>
      <c r="H83" s="99">
        <f t="shared" si="11"/>
        <v>25</v>
      </c>
      <c r="I83" s="99">
        <f t="shared" si="12"/>
        <v>5.03</v>
      </c>
      <c r="J83" s="99"/>
      <c r="K83" s="100">
        <f t="shared" si="14"/>
        <v>1950.54</v>
      </c>
      <c r="O83" s="96" t="str">
        <f t="shared" si="13"/>
        <v>Vesthimmerlands</v>
      </c>
      <c r="P83" s="104">
        <v>822.44812055474983</v>
      </c>
      <c r="Q83" s="104">
        <v>93.589740884840509</v>
      </c>
      <c r="R83" s="104">
        <v>307.8</v>
      </c>
      <c r="S83" s="104">
        <v>261.77715000000001</v>
      </c>
      <c r="T83" s="104">
        <v>324.52192500000001</v>
      </c>
      <c r="U83" s="104">
        <v>107.02874000000001</v>
      </c>
      <c r="V83" s="104">
        <v>25.002147524003817</v>
      </c>
      <c r="W83" s="104">
        <v>3.3365808981538088</v>
      </c>
      <c r="X83" s="104">
        <v>5.0340157812870201</v>
      </c>
    </row>
    <row r="84" spans="1:26" ht="12.75" customHeight="1" x14ac:dyDescent="0.25">
      <c r="B84" s="98" t="s">
        <v>45</v>
      </c>
      <c r="C84" s="99">
        <f t="shared" si="6"/>
        <v>6752.45</v>
      </c>
      <c r="D84" s="99">
        <f t="shared" si="7"/>
        <v>230.16</v>
      </c>
      <c r="E84" s="99">
        <f t="shared" si="8"/>
        <v>165.92</v>
      </c>
      <c r="F84" s="99">
        <f t="shared" si="9"/>
        <v>732.61</v>
      </c>
      <c r="G84" s="99">
        <f t="shared" si="10"/>
        <v>8.57</v>
      </c>
      <c r="H84" s="99">
        <f t="shared" si="11"/>
        <v>59.87</v>
      </c>
      <c r="I84" s="99">
        <f t="shared" si="12"/>
        <v>7.6</v>
      </c>
      <c r="J84" s="99"/>
      <c r="K84" s="100">
        <f t="shared" si="14"/>
        <v>7957.1799999999994</v>
      </c>
      <c r="O84" s="96" t="str">
        <f t="shared" si="13"/>
        <v>Aalborg</v>
      </c>
      <c r="P84" s="104">
        <v>6752.4536051599998</v>
      </c>
      <c r="Q84" s="104">
        <v>165.92</v>
      </c>
      <c r="R84" s="104">
        <v>230.16</v>
      </c>
      <c r="S84" s="104">
        <v>197.81475000000003</v>
      </c>
      <c r="T84" s="104">
        <v>418.29274500000008</v>
      </c>
      <c r="U84" s="104">
        <v>116.50730000000001</v>
      </c>
      <c r="V84" s="104">
        <v>59.866684108430299</v>
      </c>
      <c r="W84" s="104">
        <v>8.5742171155970599</v>
      </c>
      <c r="X84" s="104">
        <v>7.6</v>
      </c>
    </row>
    <row r="87" spans="1:26" ht="12.75" customHeight="1" x14ac:dyDescent="0.25">
      <c r="A87" s="96" t="s">
        <v>110</v>
      </c>
      <c r="R87" s="105"/>
      <c r="S87" s="105"/>
      <c r="T87" s="105"/>
      <c r="U87" s="105"/>
      <c r="V87" s="105"/>
      <c r="W87" s="105"/>
      <c r="X87" s="105"/>
      <c r="Y87" s="105"/>
      <c r="Z87" s="105"/>
    </row>
    <row r="88" spans="1:26" ht="12.75" customHeight="1" x14ac:dyDescent="0.25">
      <c r="B88" s="97"/>
      <c r="C88" s="97" t="s">
        <v>86</v>
      </c>
      <c r="D88" s="97" t="s">
        <v>87</v>
      </c>
      <c r="E88" s="97" t="s">
        <v>88</v>
      </c>
      <c r="F88" s="97" t="s">
        <v>89</v>
      </c>
      <c r="G88" s="97" t="s">
        <v>90</v>
      </c>
      <c r="H88" s="97" t="s">
        <v>91</v>
      </c>
      <c r="I88" s="97" t="s">
        <v>92</v>
      </c>
      <c r="J88" s="97" t="s">
        <v>93</v>
      </c>
      <c r="K88" s="96" t="s">
        <v>94</v>
      </c>
      <c r="R88" s="106"/>
      <c r="S88" s="106"/>
      <c r="T88" s="106"/>
      <c r="U88" s="106"/>
      <c r="V88" s="106"/>
      <c r="W88" s="106"/>
      <c r="X88" s="106"/>
      <c r="Y88" s="106"/>
      <c r="Z88" s="106"/>
    </row>
    <row r="89" spans="1:26" ht="12.75" customHeight="1" x14ac:dyDescent="0.25">
      <c r="B89" s="98" t="s">
        <v>95</v>
      </c>
      <c r="C89" s="99"/>
      <c r="D89" s="99"/>
      <c r="E89" s="99"/>
      <c r="F89" s="99"/>
      <c r="G89" s="99"/>
      <c r="H89" s="99"/>
      <c r="I89" s="99"/>
      <c r="J89" s="99"/>
      <c r="K89" s="100"/>
    </row>
    <row r="90" spans="1:26" ht="12.75" customHeight="1" x14ac:dyDescent="0.25">
      <c r="B90" s="98" t="s">
        <v>55</v>
      </c>
      <c r="C90" s="99"/>
      <c r="D90" s="99"/>
      <c r="E90" s="99"/>
      <c r="F90" s="99"/>
      <c r="G90" s="99"/>
      <c r="H90" s="99"/>
      <c r="I90" s="99"/>
      <c r="J90" s="99"/>
      <c r="K90" s="100">
        <f>(K73-K57/1000)/H$103</f>
        <v>25491.221176470593</v>
      </c>
    </row>
    <row r="91" spans="1:26" ht="12.75" customHeight="1" x14ac:dyDescent="0.25">
      <c r="B91" s="98" t="s">
        <v>19</v>
      </c>
      <c r="C91" s="99"/>
      <c r="D91" s="99"/>
      <c r="E91" s="99"/>
      <c r="F91" s="99"/>
      <c r="G91" s="99"/>
      <c r="H91" s="99"/>
      <c r="I91" s="99"/>
      <c r="J91" s="99"/>
      <c r="K91" s="100">
        <f t="shared" ref="K91:K101" si="15">(K74-K58/1000)/H$103</f>
        <v>1271.501176470588</v>
      </c>
    </row>
    <row r="92" spans="1:26" ht="12.75" customHeight="1" x14ac:dyDescent="0.25">
      <c r="B92" s="98" t="s">
        <v>22</v>
      </c>
      <c r="C92" s="99"/>
      <c r="D92" s="99"/>
      <c r="E92" s="99"/>
      <c r="F92" s="99"/>
      <c r="G92" s="99"/>
      <c r="H92" s="99"/>
      <c r="I92" s="99"/>
      <c r="J92" s="99"/>
      <c r="K92" s="100">
        <f t="shared" si="15"/>
        <v>2733.8117647058821</v>
      </c>
    </row>
    <row r="93" spans="1:26" ht="12.75" customHeight="1" x14ac:dyDescent="0.25">
      <c r="B93" s="98" t="s">
        <v>26</v>
      </c>
      <c r="C93" s="99"/>
      <c r="D93" s="99"/>
      <c r="E93" s="99"/>
      <c r="F93" s="99"/>
      <c r="G93" s="99"/>
      <c r="H93" s="99"/>
      <c r="I93" s="99"/>
      <c r="J93" s="99"/>
      <c r="K93" s="100">
        <f t="shared" si="15"/>
        <v>3059.5694117647067</v>
      </c>
    </row>
    <row r="94" spans="1:26" ht="12.75" customHeight="1" x14ac:dyDescent="0.25">
      <c r="B94" s="98" t="s">
        <v>17</v>
      </c>
      <c r="C94" s="99"/>
      <c r="D94" s="99"/>
      <c r="E94" s="99"/>
      <c r="F94" s="99"/>
      <c r="G94" s="99"/>
      <c r="H94" s="99"/>
      <c r="I94" s="99"/>
      <c r="J94" s="99"/>
      <c r="K94" s="100">
        <f t="shared" si="15"/>
        <v>1597.3529411764707</v>
      </c>
    </row>
    <row r="95" spans="1:26" ht="12.75" customHeight="1" x14ac:dyDescent="0.25">
      <c r="B95" s="98" t="s">
        <v>28</v>
      </c>
      <c r="C95" s="99"/>
      <c r="D95" s="99"/>
      <c r="E95" s="99"/>
      <c r="F95" s="99"/>
      <c r="G95" s="99"/>
      <c r="H95" s="99"/>
      <c r="I95" s="99"/>
      <c r="J95" s="99"/>
      <c r="K95" s="100">
        <f t="shared" si="15"/>
        <v>93.995294117647077</v>
      </c>
    </row>
    <row r="96" spans="1:26" ht="12.75" customHeight="1" x14ac:dyDescent="0.25">
      <c r="B96" s="98" t="s">
        <v>51</v>
      </c>
      <c r="C96" s="99"/>
      <c r="D96" s="99"/>
      <c r="E96" s="99"/>
      <c r="F96" s="99"/>
      <c r="G96" s="99"/>
      <c r="H96" s="99"/>
      <c r="I96" s="99"/>
      <c r="J96" s="99"/>
      <c r="K96" s="100">
        <f t="shared" si="15"/>
        <v>1674.884705882353</v>
      </c>
    </row>
    <row r="97" spans="1:20" ht="12.75" customHeight="1" x14ac:dyDescent="0.25">
      <c r="B97" s="98" t="s">
        <v>30</v>
      </c>
      <c r="C97" s="99"/>
      <c r="D97" s="99"/>
      <c r="E97" s="99"/>
      <c r="F97" s="99"/>
      <c r="G97" s="99"/>
      <c r="H97" s="99"/>
      <c r="I97" s="99"/>
      <c r="J97" s="99"/>
      <c r="K97" s="100">
        <f t="shared" si="15"/>
        <v>994.50588235294128</v>
      </c>
    </row>
    <row r="98" spans="1:20" ht="12.75" customHeight="1" x14ac:dyDescent="0.25">
      <c r="B98" s="98" t="s">
        <v>34</v>
      </c>
      <c r="C98" s="99"/>
      <c r="D98" s="99"/>
      <c r="E98" s="99"/>
      <c r="F98" s="99"/>
      <c r="G98" s="99"/>
      <c r="H98" s="99"/>
      <c r="I98" s="99"/>
      <c r="J98" s="99"/>
      <c r="K98" s="100">
        <f t="shared" si="15"/>
        <v>1158.3976470588234</v>
      </c>
    </row>
    <row r="99" spans="1:20" ht="12.75" customHeight="1" x14ac:dyDescent="0.25">
      <c r="B99" s="98" t="s">
        <v>37</v>
      </c>
      <c r="C99" s="99"/>
      <c r="D99" s="99"/>
      <c r="E99" s="99"/>
      <c r="F99" s="99"/>
      <c r="G99" s="99"/>
      <c r="H99" s="99"/>
      <c r="I99" s="99"/>
      <c r="J99" s="99"/>
      <c r="K99" s="100">
        <f t="shared" si="15"/>
        <v>2186.8682352941173</v>
      </c>
    </row>
    <row r="100" spans="1:20" ht="12.75" customHeight="1" x14ac:dyDescent="0.25">
      <c r="B100" s="98" t="s">
        <v>42</v>
      </c>
      <c r="C100" s="99"/>
      <c r="D100" s="99"/>
      <c r="E100" s="99"/>
      <c r="F100" s="99"/>
      <c r="G100" s="99"/>
      <c r="H100" s="99"/>
      <c r="I100" s="99"/>
      <c r="J100" s="99"/>
      <c r="K100" s="100">
        <f t="shared" si="15"/>
        <v>2162.1035294117646</v>
      </c>
    </row>
    <row r="101" spans="1:20" ht="12.75" customHeight="1" x14ac:dyDescent="0.25">
      <c r="B101" s="98" t="s">
        <v>45</v>
      </c>
      <c r="C101" s="99"/>
      <c r="D101" s="99"/>
      <c r="E101" s="99"/>
      <c r="F101" s="99"/>
      <c r="G101" s="99"/>
      <c r="H101" s="99"/>
      <c r="I101" s="99"/>
      <c r="J101" s="99"/>
      <c r="K101" s="100">
        <f t="shared" si="15"/>
        <v>8475.40705882353</v>
      </c>
    </row>
    <row r="103" spans="1:20" ht="12.75" customHeight="1" x14ac:dyDescent="0.25">
      <c r="A103" s="96" t="s">
        <v>111</v>
      </c>
      <c r="H103" s="98">
        <v>0.85</v>
      </c>
    </row>
    <row r="105" spans="1:20" ht="12.75" customHeight="1" x14ac:dyDescent="0.25">
      <c r="A105" s="96" t="s">
        <v>112</v>
      </c>
    </row>
    <row r="106" spans="1:20" ht="12.75" customHeight="1" x14ac:dyDescent="0.25">
      <c r="F106" s="96" t="s">
        <v>113</v>
      </c>
      <c r="G106" s="96" t="s">
        <v>114</v>
      </c>
      <c r="H106" s="96" t="s">
        <v>115</v>
      </c>
    </row>
    <row r="107" spans="1:20" ht="12.75" customHeight="1" x14ac:dyDescent="0.25">
      <c r="E107" s="98">
        <v>1990</v>
      </c>
      <c r="F107" s="107">
        <v>1.6E-2</v>
      </c>
      <c r="G107" s="107">
        <v>0.33300000000000002</v>
      </c>
      <c r="H107" s="107">
        <v>1.7509999999999999</v>
      </c>
    </row>
    <row r="108" spans="1:20" ht="12.75" customHeight="1" x14ac:dyDescent="0.25">
      <c r="E108" s="98">
        <v>2010</v>
      </c>
      <c r="F108" s="107">
        <v>1</v>
      </c>
      <c r="G108" s="107">
        <v>1</v>
      </c>
      <c r="H108" s="107">
        <v>1</v>
      </c>
    </row>
    <row r="109" spans="1:20" ht="12.75" customHeight="1" x14ac:dyDescent="0.25">
      <c r="C109" s="96" t="s">
        <v>116</v>
      </c>
      <c r="P109" s="96" t="s">
        <v>116</v>
      </c>
      <c r="Q109" s="96" t="s">
        <v>116</v>
      </c>
      <c r="R109" s="96" t="s">
        <v>132</v>
      </c>
      <c r="S109" s="96" t="s">
        <v>133</v>
      </c>
      <c r="T109" s="96" t="s">
        <v>134</v>
      </c>
    </row>
    <row r="110" spans="1:20" ht="12.75" customHeight="1" x14ac:dyDescent="0.25">
      <c r="B110" s="97" t="s">
        <v>85</v>
      </c>
      <c r="C110" s="97" t="s">
        <v>86</v>
      </c>
      <c r="D110" s="97" t="s">
        <v>87</v>
      </c>
      <c r="E110" s="97" t="s">
        <v>88</v>
      </c>
      <c r="F110" s="97" t="s">
        <v>117</v>
      </c>
      <c r="G110" s="97" t="s">
        <v>107</v>
      </c>
      <c r="H110" s="97" t="s">
        <v>118</v>
      </c>
      <c r="I110" s="97" t="s">
        <v>90</v>
      </c>
      <c r="J110" s="97" t="s">
        <v>91</v>
      </c>
      <c r="K110" s="97" t="s">
        <v>119</v>
      </c>
      <c r="L110" s="97" t="s">
        <v>93</v>
      </c>
      <c r="M110" s="96" t="s">
        <v>94</v>
      </c>
      <c r="O110" s="97" t="s">
        <v>120</v>
      </c>
      <c r="P110" s="96" t="s">
        <v>121</v>
      </c>
      <c r="Q110" s="96" t="s">
        <v>122</v>
      </c>
      <c r="R110" s="97" t="s">
        <v>123</v>
      </c>
      <c r="S110" s="96" t="s">
        <v>124</v>
      </c>
      <c r="T110" s="96" t="s">
        <v>125</v>
      </c>
    </row>
    <row r="111" spans="1:20" ht="12.75" customHeight="1" x14ac:dyDescent="0.25">
      <c r="B111" s="98" t="s">
        <v>95</v>
      </c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100"/>
      <c r="T111" s="96">
        <v>93.799999999999983</v>
      </c>
    </row>
    <row r="112" spans="1:20" ht="12.75" customHeight="1" x14ac:dyDescent="0.25">
      <c r="B112" s="98" t="s">
        <v>55</v>
      </c>
      <c r="C112" s="99">
        <f t="shared" ref="C112:C123" si="16">P112*C$125</f>
        <v>7812.4029302148447</v>
      </c>
      <c r="D112" s="99">
        <f t="shared" ref="D112:D123" si="17">K90-C112-E112-F112-G112-H112-J112-K112-I112</f>
        <v>14403.453968996091</v>
      </c>
      <c r="E112" s="99">
        <f t="shared" ref="E112:E123" si="18">S112*E$125</f>
        <v>180.92917249999999</v>
      </c>
      <c r="F112" s="99">
        <f t="shared" ref="F112:H123" si="19">S73*F$107</f>
        <v>27.161964000000005</v>
      </c>
      <c r="G112" s="99">
        <f t="shared" si="19"/>
        <v>811.10663478000015</v>
      </c>
      <c r="H112" s="99">
        <f t="shared" si="19"/>
        <v>1570.4872037399998</v>
      </c>
      <c r="I112" s="99">
        <v>0</v>
      </c>
      <c r="J112" s="99">
        <f t="shared" ref="J112:J123" si="20">R112</f>
        <v>674.50000000000011</v>
      </c>
      <c r="K112" s="99">
        <f t="shared" ref="K112:K123" si="21">T112</f>
        <v>11.179302239657801</v>
      </c>
      <c r="L112" s="99"/>
      <c r="M112" s="100">
        <f t="shared" ref="M112:M123" si="22">SUM(C112:L112)</f>
        <v>25491.221176470593</v>
      </c>
      <c r="O112" s="98" t="s">
        <v>55</v>
      </c>
      <c r="P112" s="98">
        <f>SUM(P113:P123)</f>
        <v>10416.53724028646</v>
      </c>
      <c r="Q112" s="98">
        <f>SUM(Q113:Q123)</f>
        <v>2215.0421874999997</v>
      </c>
      <c r="R112" s="108">
        <f>SUM(R113:R123)</f>
        <v>674.50000000000011</v>
      </c>
      <c r="S112" s="108">
        <v>212.85784999999998</v>
      </c>
      <c r="T112" s="108">
        <v>11.179302239657801</v>
      </c>
    </row>
    <row r="113" spans="1:20" ht="12.75" customHeight="1" x14ac:dyDescent="0.25">
      <c r="B113" s="98" t="s">
        <v>19</v>
      </c>
      <c r="C113" s="99">
        <f t="shared" si="16"/>
        <v>434.21699999999998</v>
      </c>
      <c r="D113" s="99">
        <f t="shared" si="17"/>
        <v>661.16735176435645</v>
      </c>
      <c r="E113" s="99">
        <f t="shared" si="18"/>
        <v>10.2861475</v>
      </c>
      <c r="F113" s="99">
        <f t="shared" si="19"/>
        <v>1.3211544000000002</v>
      </c>
      <c r="G113" s="99">
        <f t="shared" si="19"/>
        <v>31.531050720000003</v>
      </c>
      <c r="H113" s="99">
        <f t="shared" si="19"/>
        <v>110.64639040000002</v>
      </c>
      <c r="I113" s="99">
        <v>0</v>
      </c>
      <c r="J113" s="99">
        <f t="shared" si="20"/>
        <v>21.6</v>
      </c>
      <c r="K113" s="99">
        <f t="shared" si="21"/>
        <v>0.7320816862316315</v>
      </c>
      <c r="L113" s="99"/>
      <c r="M113" s="100">
        <f t="shared" si="22"/>
        <v>1271.5011764705878</v>
      </c>
      <c r="O113" s="98" t="s">
        <v>19</v>
      </c>
      <c r="P113" s="108">
        <v>578.95600000000002</v>
      </c>
      <c r="Q113" s="98">
        <v>162.30000000000001</v>
      </c>
      <c r="R113" s="108">
        <v>21.6</v>
      </c>
      <c r="S113" s="108">
        <v>12.10135</v>
      </c>
      <c r="T113" s="108">
        <v>0.7320816862316315</v>
      </c>
    </row>
    <row r="114" spans="1:20" ht="12.75" customHeight="1" x14ac:dyDescent="0.25">
      <c r="B114" s="98" t="s">
        <v>22</v>
      </c>
      <c r="C114" s="99">
        <f t="shared" si="16"/>
        <v>792.81975000000011</v>
      </c>
      <c r="D114" s="99">
        <f t="shared" si="17"/>
        <v>1570.3490854567865</v>
      </c>
      <c r="E114" s="99">
        <f t="shared" si="18"/>
        <v>35.377212499999999</v>
      </c>
      <c r="F114" s="99">
        <f t="shared" si="19"/>
        <v>1.9387224000000001</v>
      </c>
      <c r="G114" s="99">
        <f t="shared" si="19"/>
        <v>85.658355900000004</v>
      </c>
      <c r="H114" s="99">
        <f t="shared" si="19"/>
        <v>121.71102943999999</v>
      </c>
      <c r="I114" s="99">
        <v>0</v>
      </c>
      <c r="J114" s="99">
        <f t="shared" si="20"/>
        <v>124.8</v>
      </c>
      <c r="K114" s="99">
        <f t="shared" si="21"/>
        <v>1.1576090090956057</v>
      </c>
      <c r="L114" s="99"/>
      <c r="M114" s="100">
        <f t="shared" si="22"/>
        <v>2733.811764705883</v>
      </c>
      <c r="O114" s="98" t="s">
        <v>22</v>
      </c>
      <c r="P114" s="108">
        <v>1057.0930000000001</v>
      </c>
      <c r="Q114" s="98">
        <v>375</v>
      </c>
      <c r="R114" s="108">
        <v>124.8</v>
      </c>
      <c r="S114" s="108">
        <v>41.620249999999999</v>
      </c>
      <c r="T114" s="108">
        <v>1.1576090090956057</v>
      </c>
    </row>
    <row r="115" spans="1:20" ht="12.75" customHeight="1" x14ac:dyDescent="0.25">
      <c r="B115" s="98" t="s">
        <v>26</v>
      </c>
      <c r="C115" s="99">
        <f t="shared" si="16"/>
        <v>873.15224999999998</v>
      </c>
      <c r="D115" s="99">
        <f t="shared" si="17"/>
        <v>1767.7266817810582</v>
      </c>
      <c r="E115" s="99">
        <f t="shared" si="18"/>
        <v>15.815695</v>
      </c>
      <c r="F115" s="99">
        <f t="shared" si="19"/>
        <v>3.8752392000000007</v>
      </c>
      <c r="G115" s="99">
        <f t="shared" si="19"/>
        <v>103.490783955</v>
      </c>
      <c r="H115" s="99">
        <f t="shared" si="19"/>
        <v>161.82034596000003</v>
      </c>
      <c r="I115" s="99">
        <v>0</v>
      </c>
      <c r="J115" s="99">
        <f t="shared" si="20"/>
        <v>132.4</v>
      </c>
      <c r="K115" s="99">
        <f t="shared" si="21"/>
        <v>1.2884158686483951</v>
      </c>
      <c r="L115" s="99"/>
      <c r="M115" s="100">
        <f t="shared" si="22"/>
        <v>3059.5694117647067</v>
      </c>
      <c r="O115" s="98" t="s">
        <v>26</v>
      </c>
      <c r="P115" s="108">
        <v>1164.203</v>
      </c>
      <c r="Q115" s="98">
        <v>156.9</v>
      </c>
      <c r="R115" s="108">
        <v>132.4</v>
      </c>
      <c r="S115" s="108">
        <v>18.6067</v>
      </c>
      <c r="T115" s="108">
        <v>1.2884158686483951</v>
      </c>
    </row>
    <row r="116" spans="1:20" ht="12.75" customHeight="1" x14ac:dyDescent="0.25">
      <c r="B116" s="98" t="s">
        <v>17</v>
      </c>
      <c r="C116" s="99">
        <f t="shared" si="16"/>
        <v>273.15074999999996</v>
      </c>
      <c r="D116" s="99">
        <f t="shared" si="17"/>
        <v>928.17729295346044</v>
      </c>
      <c r="E116" s="99">
        <f t="shared" si="18"/>
        <v>16.885929999999998</v>
      </c>
      <c r="F116" s="99">
        <f t="shared" si="19"/>
        <v>2.7944952000000005</v>
      </c>
      <c r="G116" s="99">
        <f t="shared" si="19"/>
        <v>91.524324060000012</v>
      </c>
      <c r="H116" s="99">
        <f t="shared" si="19"/>
        <v>150.06416698000001</v>
      </c>
      <c r="I116" s="99">
        <v>0</v>
      </c>
      <c r="J116" s="99">
        <f t="shared" si="20"/>
        <v>134.19999999999999</v>
      </c>
      <c r="K116" s="99">
        <f t="shared" si="21"/>
        <v>0.55598198301032109</v>
      </c>
      <c r="L116" s="99"/>
      <c r="M116" s="100">
        <f t="shared" si="22"/>
        <v>1597.3529411764707</v>
      </c>
      <c r="O116" s="98" t="s">
        <v>17</v>
      </c>
      <c r="P116" s="108">
        <v>364.20099999999996</v>
      </c>
      <c r="Q116" s="98">
        <v>207.2</v>
      </c>
      <c r="R116" s="108">
        <v>134.19999999999999</v>
      </c>
      <c r="S116" s="108">
        <v>19.8658</v>
      </c>
      <c r="T116" s="108">
        <v>0.55598198301032109</v>
      </c>
    </row>
    <row r="117" spans="1:20" ht="12.75" customHeight="1" x14ac:dyDescent="0.25">
      <c r="B117" s="98" t="s">
        <v>28</v>
      </c>
      <c r="C117" s="99">
        <f t="shared" si="16"/>
        <v>0</v>
      </c>
      <c r="D117" s="99">
        <f t="shared" si="17"/>
        <v>75.096898732652846</v>
      </c>
      <c r="E117" s="99">
        <f t="shared" si="18"/>
        <v>0</v>
      </c>
      <c r="F117" s="99">
        <f t="shared" si="19"/>
        <v>3.9700800000000001E-2</v>
      </c>
      <c r="G117" s="99">
        <f t="shared" si="19"/>
        <v>6.6518764650000008</v>
      </c>
      <c r="H117" s="99">
        <f t="shared" si="19"/>
        <v>1.3830798799999999</v>
      </c>
      <c r="I117" s="99">
        <v>0</v>
      </c>
      <c r="J117" s="99">
        <f t="shared" si="20"/>
        <v>10.8</v>
      </c>
      <c r="K117" s="99">
        <f t="shared" si="21"/>
        <v>2.3738239994232635E-2</v>
      </c>
      <c r="L117" s="99"/>
      <c r="M117" s="100">
        <f t="shared" si="22"/>
        <v>93.995294117647077</v>
      </c>
      <c r="O117" s="98" t="s">
        <v>28</v>
      </c>
      <c r="P117" s="108">
        <v>0</v>
      </c>
      <c r="Q117" s="98">
        <v>22.1</v>
      </c>
      <c r="R117" s="108">
        <v>10.8</v>
      </c>
      <c r="S117" s="108">
        <v>0</v>
      </c>
      <c r="T117" s="108">
        <v>2.3738239994232635E-2</v>
      </c>
    </row>
    <row r="118" spans="1:20" ht="12.75" customHeight="1" x14ac:dyDescent="0.25">
      <c r="B118" s="98" t="s">
        <v>51</v>
      </c>
      <c r="C118" s="99">
        <f t="shared" si="16"/>
        <v>175.86900000000003</v>
      </c>
      <c r="D118" s="99">
        <f t="shared" si="17"/>
        <v>1188.7713595623047</v>
      </c>
      <c r="E118" s="99">
        <f t="shared" si="18"/>
        <v>36.506905000000003</v>
      </c>
      <c r="F118" s="99">
        <f t="shared" si="19"/>
        <v>2.8386072000000002</v>
      </c>
      <c r="G118" s="99">
        <f t="shared" si="19"/>
        <v>79.099141680000002</v>
      </c>
      <c r="H118" s="99">
        <f t="shared" si="19"/>
        <v>141.7656877</v>
      </c>
      <c r="I118" s="99">
        <v>0</v>
      </c>
      <c r="J118" s="99">
        <f t="shared" si="20"/>
        <v>49.5</v>
      </c>
      <c r="K118" s="99">
        <f t="shared" si="21"/>
        <v>0.53400474004830156</v>
      </c>
      <c r="L118" s="99"/>
      <c r="M118" s="100">
        <f t="shared" si="22"/>
        <v>1674.8847058823528</v>
      </c>
      <c r="O118" s="98" t="s">
        <v>51</v>
      </c>
      <c r="P118" s="108">
        <v>234.49200000000002</v>
      </c>
      <c r="Q118" s="98">
        <v>212.3</v>
      </c>
      <c r="R118" s="108">
        <v>49.5</v>
      </c>
      <c r="S118" s="108">
        <v>42.949300000000001</v>
      </c>
      <c r="T118" s="108">
        <v>0.53400474004830156</v>
      </c>
    </row>
    <row r="119" spans="1:20" ht="12.75" customHeight="1" x14ac:dyDescent="0.25">
      <c r="B119" s="98" t="s">
        <v>30</v>
      </c>
      <c r="C119" s="99">
        <f t="shared" si="16"/>
        <v>139.92750000000001</v>
      </c>
      <c r="D119" s="99">
        <f t="shared" si="17"/>
        <v>603.37052997130036</v>
      </c>
      <c r="E119" s="99">
        <f t="shared" si="18"/>
        <v>24.853235000000002</v>
      </c>
      <c r="F119" s="99">
        <f t="shared" si="19"/>
        <v>2.1151704000000002</v>
      </c>
      <c r="G119" s="99">
        <f t="shared" si="19"/>
        <v>30.043151774999998</v>
      </c>
      <c r="H119" s="99">
        <f t="shared" si="19"/>
        <v>169.42728529999997</v>
      </c>
      <c r="I119" s="99">
        <v>0</v>
      </c>
      <c r="J119" s="99">
        <f t="shared" si="20"/>
        <v>24.5</v>
      </c>
      <c r="K119" s="99">
        <f t="shared" si="21"/>
        <v>0.26900990664087371</v>
      </c>
      <c r="L119" s="99"/>
      <c r="M119" s="100">
        <f t="shared" si="22"/>
        <v>994.50588235294128</v>
      </c>
      <c r="O119" s="98" t="s">
        <v>30</v>
      </c>
      <c r="P119" s="108">
        <v>186.57</v>
      </c>
      <c r="Q119" s="98">
        <v>80.099999999999994</v>
      </c>
      <c r="R119" s="108">
        <v>24.5</v>
      </c>
      <c r="S119" s="108">
        <v>29.239100000000001</v>
      </c>
      <c r="T119" s="108">
        <v>0.26900990664087371</v>
      </c>
    </row>
    <row r="120" spans="1:20" ht="12.75" customHeight="1" x14ac:dyDescent="0.25">
      <c r="B120" s="98" t="s">
        <v>34</v>
      </c>
      <c r="C120" s="99">
        <f t="shared" si="16"/>
        <v>219.00300000000001</v>
      </c>
      <c r="D120" s="99">
        <f t="shared" si="17"/>
        <v>706.16712119779083</v>
      </c>
      <c r="E120" s="99">
        <f t="shared" si="18"/>
        <v>5.7673775000000003</v>
      </c>
      <c r="F120" s="99">
        <f t="shared" si="19"/>
        <v>1.7336016000000001</v>
      </c>
      <c r="G120" s="99">
        <f t="shared" si="19"/>
        <v>60.212147580000014</v>
      </c>
      <c r="H120" s="99">
        <f t="shared" si="19"/>
        <v>145.22338739999998</v>
      </c>
      <c r="I120" s="99">
        <v>0</v>
      </c>
      <c r="J120" s="99">
        <f t="shared" si="20"/>
        <v>19.899999999999999</v>
      </c>
      <c r="K120" s="99">
        <f t="shared" si="21"/>
        <v>0.39101178103259754</v>
      </c>
      <c r="L120" s="99"/>
      <c r="M120" s="100">
        <f t="shared" si="22"/>
        <v>1158.3976470588234</v>
      </c>
      <c r="O120" s="98" t="s">
        <v>34</v>
      </c>
      <c r="P120" s="108">
        <v>292.00400000000002</v>
      </c>
      <c r="Q120" s="98">
        <v>191.6</v>
      </c>
      <c r="R120" s="108">
        <v>19.899999999999999</v>
      </c>
      <c r="S120" s="108">
        <v>6.7851500000000007</v>
      </c>
      <c r="T120" s="108">
        <v>0.39101178103259754</v>
      </c>
    </row>
    <row r="121" spans="1:20" ht="12.75" customHeight="1" x14ac:dyDescent="0.25">
      <c r="B121" s="98" t="s">
        <v>37</v>
      </c>
      <c r="C121" s="99">
        <f t="shared" si="16"/>
        <v>286.88024999999999</v>
      </c>
      <c r="D121" s="99">
        <f t="shared" si="17"/>
        <v>1559.72458207712</v>
      </c>
      <c r="E121" s="99">
        <f t="shared" si="18"/>
        <v>13.0211925</v>
      </c>
      <c r="F121" s="99">
        <f t="shared" si="19"/>
        <v>3.1518024000000007</v>
      </c>
      <c r="G121" s="99">
        <f t="shared" si="19"/>
        <v>75.538517535000011</v>
      </c>
      <c r="H121" s="99">
        <f t="shared" si="19"/>
        <v>177.03422463999999</v>
      </c>
      <c r="I121" s="99">
        <v>0</v>
      </c>
      <c r="J121" s="99">
        <f t="shared" si="20"/>
        <v>70.7</v>
      </c>
      <c r="K121" s="99">
        <f t="shared" si="21"/>
        <v>0.81766614199718823</v>
      </c>
      <c r="L121" s="99"/>
      <c r="M121" s="100">
        <f t="shared" si="22"/>
        <v>2186.8682352941169</v>
      </c>
      <c r="O121" s="98" t="s">
        <v>37</v>
      </c>
      <c r="P121" s="108">
        <v>382.50700000000001</v>
      </c>
      <c r="Q121" s="98">
        <v>465.2</v>
      </c>
      <c r="R121" s="108">
        <v>70.7</v>
      </c>
      <c r="S121" s="108">
        <v>15.319050000000001</v>
      </c>
      <c r="T121" s="108">
        <v>0.81766614199718823</v>
      </c>
    </row>
    <row r="122" spans="1:20" ht="12.75" customHeight="1" x14ac:dyDescent="0.25">
      <c r="B122" s="98" t="s">
        <v>42</v>
      </c>
      <c r="C122" s="99">
        <f t="shared" si="16"/>
        <v>465.34875</v>
      </c>
      <c r="D122" s="99">
        <f t="shared" si="17"/>
        <v>1348.2689303779721</v>
      </c>
      <c r="E122" s="99">
        <f t="shared" si="18"/>
        <v>12.129330000000001</v>
      </c>
      <c r="F122" s="99">
        <f t="shared" si="19"/>
        <v>4.1884344000000002</v>
      </c>
      <c r="G122" s="99">
        <f t="shared" si="19"/>
        <v>108.06580102500001</v>
      </c>
      <c r="H122" s="99">
        <f t="shared" si="19"/>
        <v>187.40732374000001</v>
      </c>
      <c r="I122" s="99">
        <v>0</v>
      </c>
      <c r="J122" s="99">
        <f t="shared" si="20"/>
        <v>36</v>
      </c>
      <c r="K122" s="99">
        <f t="shared" si="21"/>
        <v>0.69495986879257921</v>
      </c>
      <c r="L122" s="99"/>
      <c r="M122" s="100">
        <f t="shared" si="22"/>
        <v>2162.1035294117646</v>
      </c>
      <c r="O122" s="98" t="s">
        <v>42</v>
      </c>
      <c r="P122" s="108">
        <v>620.46500000000003</v>
      </c>
      <c r="Q122" s="98">
        <v>125.7</v>
      </c>
      <c r="R122" s="108">
        <v>36</v>
      </c>
      <c r="S122" s="108">
        <v>14.269800000000002</v>
      </c>
      <c r="T122" s="108">
        <v>0.69495986879257921</v>
      </c>
    </row>
    <row r="123" spans="1:20" ht="12.75" customHeight="1" x14ac:dyDescent="0.25">
      <c r="B123" s="98" t="s">
        <v>45</v>
      </c>
      <c r="C123" s="99">
        <f t="shared" si="16"/>
        <v>4152.0346802148451</v>
      </c>
      <c r="D123" s="99">
        <f t="shared" si="17"/>
        <v>3911.8106057095188</v>
      </c>
      <c r="E123" s="99">
        <f t="shared" si="18"/>
        <v>10.2861475</v>
      </c>
      <c r="F123" s="99">
        <f t="shared" si="19"/>
        <v>3.1650360000000006</v>
      </c>
      <c r="G123" s="99">
        <f t="shared" si="19"/>
        <v>139.29148408500004</v>
      </c>
      <c r="H123" s="99">
        <f t="shared" si="19"/>
        <v>204.0042823</v>
      </c>
      <c r="I123" s="99">
        <v>0</v>
      </c>
      <c r="J123" s="99">
        <f t="shared" si="20"/>
        <v>50.1</v>
      </c>
      <c r="K123" s="99">
        <f t="shared" si="21"/>
        <v>4.7148230141660745</v>
      </c>
      <c r="L123" s="99"/>
      <c r="M123" s="100">
        <f t="shared" si="22"/>
        <v>8475.4070588235318</v>
      </c>
      <c r="O123" s="98" t="s">
        <v>45</v>
      </c>
      <c r="P123" s="108">
        <v>5536.0462402864605</v>
      </c>
      <c r="Q123" s="108">
        <v>216.64218749999995</v>
      </c>
      <c r="R123" s="108">
        <v>50.1</v>
      </c>
      <c r="S123" s="108">
        <v>12.10135</v>
      </c>
      <c r="T123" s="108">
        <v>4.7148230141660745</v>
      </c>
    </row>
    <row r="124" spans="1:20" ht="12.75" customHeight="1" x14ac:dyDescent="0.25">
      <c r="C124" s="109"/>
      <c r="D124" s="109"/>
      <c r="E124" s="109"/>
      <c r="F124" s="109"/>
      <c r="G124" s="109"/>
      <c r="H124" s="109"/>
      <c r="I124" s="109"/>
      <c r="J124" s="109"/>
      <c r="K124" s="109"/>
    </row>
    <row r="125" spans="1:20" ht="12.75" customHeight="1" x14ac:dyDescent="0.25">
      <c r="B125" s="98" t="s">
        <v>126</v>
      </c>
      <c r="C125" s="110">
        <v>0.75</v>
      </c>
      <c r="D125" s="110">
        <v>0.8</v>
      </c>
      <c r="E125" s="110">
        <v>0.85</v>
      </c>
      <c r="F125" s="110">
        <v>0.75</v>
      </c>
      <c r="G125" s="110">
        <v>0.65</v>
      </c>
      <c r="H125" s="110">
        <v>0.65</v>
      </c>
      <c r="I125" s="110">
        <v>2.5</v>
      </c>
      <c r="J125" s="110">
        <v>1</v>
      </c>
      <c r="K125" s="110">
        <v>1</v>
      </c>
    </row>
    <row r="127" spans="1:20" ht="12.75" customHeight="1" x14ac:dyDescent="0.25">
      <c r="A127" s="96" t="s">
        <v>127</v>
      </c>
    </row>
    <row r="128" spans="1:20" ht="12.75" customHeight="1" x14ac:dyDescent="0.25">
      <c r="B128" s="97" t="s">
        <v>85</v>
      </c>
      <c r="C128" s="97" t="s">
        <v>86</v>
      </c>
      <c r="D128" s="97" t="s">
        <v>87</v>
      </c>
      <c r="E128" s="97" t="s">
        <v>88</v>
      </c>
      <c r="F128" s="97" t="s">
        <v>117</v>
      </c>
      <c r="G128" s="97" t="s">
        <v>107</v>
      </c>
      <c r="H128" s="97" t="s">
        <v>118</v>
      </c>
      <c r="I128" s="97" t="s">
        <v>90</v>
      </c>
      <c r="J128" s="97" t="s">
        <v>91</v>
      </c>
      <c r="K128" s="97" t="s">
        <v>119</v>
      </c>
    </row>
    <row r="129" spans="2:11" ht="12.75" customHeight="1" x14ac:dyDescent="0.25">
      <c r="B129" s="98" t="s">
        <v>95</v>
      </c>
      <c r="C129" s="111" t="s">
        <v>128</v>
      </c>
      <c r="D129" s="99"/>
      <c r="E129" s="111" t="s">
        <v>129</v>
      </c>
      <c r="F129" s="99"/>
      <c r="G129" s="99"/>
      <c r="H129" s="99"/>
      <c r="I129" s="111" t="s">
        <v>130</v>
      </c>
      <c r="J129" s="111" t="s">
        <v>130</v>
      </c>
      <c r="K129" s="111" t="s">
        <v>131</v>
      </c>
    </row>
    <row r="130" spans="2:11" ht="12.75" customHeight="1" x14ac:dyDescent="0.25">
      <c r="B130" s="98" t="s">
        <v>55</v>
      </c>
      <c r="C130" s="112"/>
      <c r="D130" s="113">
        <f>ROUND(D112/D$125,2)</f>
        <v>18004.32</v>
      </c>
      <c r="E130" s="112"/>
      <c r="F130" s="113">
        <f t="shared" ref="F130:H141" si="23">ROUND(F112/F$125,2)</f>
        <v>36.22</v>
      </c>
      <c r="G130" s="113">
        <f t="shared" si="23"/>
        <v>1247.8599999999999</v>
      </c>
      <c r="H130" s="113">
        <f t="shared" si="23"/>
        <v>2416.13</v>
      </c>
      <c r="I130" s="112"/>
      <c r="J130" s="112"/>
      <c r="K130" s="112"/>
    </row>
    <row r="131" spans="2:11" ht="12.75" customHeight="1" x14ac:dyDescent="0.25">
      <c r="B131" s="98" t="s">
        <v>19</v>
      </c>
      <c r="C131" s="112"/>
      <c r="D131" s="113">
        <f t="shared" ref="D131:D141" si="24">ROUND(D113/D$125,2)</f>
        <v>826.46</v>
      </c>
      <c r="E131" s="112"/>
      <c r="F131" s="113">
        <f t="shared" si="23"/>
        <v>1.76</v>
      </c>
      <c r="G131" s="113">
        <f t="shared" si="23"/>
        <v>48.51</v>
      </c>
      <c r="H131" s="113">
        <f t="shared" si="23"/>
        <v>170.23</v>
      </c>
      <c r="I131" s="112"/>
      <c r="J131" s="112"/>
      <c r="K131" s="112"/>
    </row>
    <row r="132" spans="2:11" ht="12.75" customHeight="1" x14ac:dyDescent="0.25">
      <c r="B132" s="98" t="s">
        <v>22</v>
      </c>
      <c r="C132" s="112"/>
      <c r="D132" s="113">
        <f t="shared" si="24"/>
        <v>1962.94</v>
      </c>
      <c r="E132" s="112"/>
      <c r="F132" s="113">
        <f t="shared" si="23"/>
        <v>2.58</v>
      </c>
      <c r="G132" s="113">
        <f t="shared" si="23"/>
        <v>131.78</v>
      </c>
      <c r="H132" s="113">
        <f t="shared" si="23"/>
        <v>187.25</v>
      </c>
      <c r="I132" s="112"/>
      <c r="J132" s="112"/>
      <c r="K132" s="112"/>
    </row>
    <row r="133" spans="2:11" ht="12.75" customHeight="1" x14ac:dyDescent="0.25">
      <c r="B133" s="98" t="s">
        <v>26</v>
      </c>
      <c r="C133" s="112"/>
      <c r="D133" s="113">
        <f t="shared" si="24"/>
        <v>2209.66</v>
      </c>
      <c r="E133" s="112"/>
      <c r="F133" s="113">
        <f t="shared" si="23"/>
        <v>5.17</v>
      </c>
      <c r="G133" s="113">
        <f t="shared" si="23"/>
        <v>159.22</v>
      </c>
      <c r="H133" s="113">
        <f t="shared" si="23"/>
        <v>248.95</v>
      </c>
      <c r="I133" s="112"/>
      <c r="J133" s="112"/>
      <c r="K133" s="112"/>
    </row>
    <row r="134" spans="2:11" ht="12.75" customHeight="1" x14ac:dyDescent="0.25">
      <c r="B134" s="98" t="s">
        <v>17</v>
      </c>
      <c r="C134" s="112"/>
      <c r="D134" s="113">
        <f t="shared" si="24"/>
        <v>1160.22</v>
      </c>
      <c r="E134" s="112"/>
      <c r="F134" s="113">
        <f t="shared" si="23"/>
        <v>3.73</v>
      </c>
      <c r="G134" s="113">
        <f t="shared" si="23"/>
        <v>140.81</v>
      </c>
      <c r="H134" s="113">
        <f t="shared" si="23"/>
        <v>230.87</v>
      </c>
      <c r="I134" s="112"/>
      <c r="J134" s="112"/>
      <c r="K134" s="112"/>
    </row>
    <row r="135" spans="2:11" ht="12.75" customHeight="1" x14ac:dyDescent="0.25">
      <c r="B135" s="98" t="s">
        <v>28</v>
      </c>
      <c r="C135" s="112"/>
      <c r="D135" s="113">
        <f t="shared" si="24"/>
        <v>93.87</v>
      </c>
      <c r="E135" s="112"/>
      <c r="F135" s="113">
        <f t="shared" si="23"/>
        <v>0.05</v>
      </c>
      <c r="G135" s="113">
        <f t="shared" si="23"/>
        <v>10.23</v>
      </c>
      <c r="H135" s="113">
        <f t="shared" si="23"/>
        <v>2.13</v>
      </c>
      <c r="I135" s="112"/>
      <c r="J135" s="112"/>
      <c r="K135" s="112"/>
    </row>
    <row r="136" spans="2:11" ht="12.75" customHeight="1" x14ac:dyDescent="0.25">
      <c r="B136" s="98" t="s">
        <v>51</v>
      </c>
      <c r="C136" s="112"/>
      <c r="D136" s="113">
        <f t="shared" si="24"/>
        <v>1485.96</v>
      </c>
      <c r="E136" s="112"/>
      <c r="F136" s="113">
        <f t="shared" si="23"/>
        <v>3.78</v>
      </c>
      <c r="G136" s="113">
        <f t="shared" si="23"/>
        <v>121.69</v>
      </c>
      <c r="H136" s="113">
        <f t="shared" si="23"/>
        <v>218.1</v>
      </c>
      <c r="I136" s="112"/>
      <c r="J136" s="112"/>
      <c r="K136" s="112"/>
    </row>
    <row r="137" spans="2:11" ht="12.75" customHeight="1" x14ac:dyDescent="0.25">
      <c r="B137" s="98" t="s">
        <v>30</v>
      </c>
      <c r="C137" s="112"/>
      <c r="D137" s="113">
        <f t="shared" si="24"/>
        <v>754.21</v>
      </c>
      <c r="E137" s="112"/>
      <c r="F137" s="113">
        <f t="shared" si="23"/>
        <v>2.82</v>
      </c>
      <c r="G137" s="113">
        <f t="shared" si="23"/>
        <v>46.22</v>
      </c>
      <c r="H137" s="113">
        <f t="shared" si="23"/>
        <v>260.66000000000003</v>
      </c>
      <c r="I137" s="112"/>
      <c r="J137" s="112"/>
      <c r="K137" s="112"/>
    </row>
    <row r="138" spans="2:11" ht="12.75" customHeight="1" x14ac:dyDescent="0.25">
      <c r="B138" s="98" t="s">
        <v>34</v>
      </c>
      <c r="C138" s="112"/>
      <c r="D138" s="113">
        <f t="shared" si="24"/>
        <v>882.71</v>
      </c>
      <c r="E138" s="112"/>
      <c r="F138" s="113">
        <f t="shared" si="23"/>
        <v>2.31</v>
      </c>
      <c r="G138" s="113">
        <f t="shared" si="23"/>
        <v>92.63</v>
      </c>
      <c r="H138" s="113">
        <f t="shared" si="23"/>
        <v>223.42</v>
      </c>
      <c r="I138" s="112"/>
      <c r="J138" s="112"/>
      <c r="K138" s="112"/>
    </row>
    <row r="139" spans="2:11" ht="12.75" customHeight="1" x14ac:dyDescent="0.25">
      <c r="B139" s="98" t="s">
        <v>37</v>
      </c>
      <c r="C139" s="112"/>
      <c r="D139" s="113">
        <f t="shared" si="24"/>
        <v>1949.66</v>
      </c>
      <c r="E139" s="112"/>
      <c r="F139" s="113">
        <f t="shared" si="23"/>
        <v>4.2</v>
      </c>
      <c r="G139" s="113">
        <f t="shared" si="23"/>
        <v>116.21</v>
      </c>
      <c r="H139" s="113">
        <f t="shared" si="23"/>
        <v>272.36</v>
      </c>
      <c r="I139" s="112"/>
      <c r="J139" s="112"/>
      <c r="K139" s="112"/>
    </row>
    <row r="140" spans="2:11" ht="12.75" customHeight="1" x14ac:dyDescent="0.25">
      <c r="B140" s="98" t="s">
        <v>42</v>
      </c>
      <c r="C140" s="112"/>
      <c r="D140" s="113">
        <f t="shared" si="24"/>
        <v>1685.34</v>
      </c>
      <c r="E140" s="112"/>
      <c r="F140" s="113">
        <f t="shared" si="23"/>
        <v>5.58</v>
      </c>
      <c r="G140" s="113">
        <f t="shared" si="23"/>
        <v>166.26</v>
      </c>
      <c r="H140" s="113">
        <f t="shared" si="23"/>
        <v>288.32</v>
      </c>
      <c r="I140" s="112"/>
      <c r="J140" s="112"/>
      <c r="K140" s="112"/>
    </row>
    <row r="141" spans="2:11" ht="12.75" customHeight="1" x14ac:dyDescent="0.25">
      <c r="B141" s="98" t="s">
        <v>45</v>
      </c>
      <c r="C141" s="114"/>
      <c r="D141" s="113">
        <f t="shared" si="24"/>
        <v>4889.76</v>
      </c>
      <c r="E141" s="114"/>
      <c r="F141" s="113">
        <f t="shared" si="23"/>
        <v>4.22</v>
      </c>
      <c r="G141" s="113">
        <f t="shared" si="23"/>
        <v>214.29</v>
      </c>
      <c r="H141" s="113">
        <f t="shared" si="23"/>
        <v>313.85000000000002</v>
      </c>
      <c r="I141" s="114"/>
      <c r="J141" s="114"/>
      <c r="K141" s="114"/>
    </row>
  </sheetData>
  <mergeCells count="5">
    <mergeCell ref="C129:C141"/>
    <mergeCell ref="E129:E141"/>
    <mergeCell ref="I129:I141"/>
    <mergeCell ref="J129:J141"/>
    <mergeCell ref="K129:K141"/>
  </mergeCells>
  <pageMargins left="0.7" right="0.7" top="0.75" bottom="0.75" header="0.3" footer="0.3"/>
  <pageSetup paperSize="9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CA90B-A805-42BC-8442-D90C7167881B}">
  <dimension ref="A1:H51"/>
  <sheetViews>
    <sheetView showGridLines="0" workbookViewId="0">
      <selection activeCell="D19" sqref="D19"/>
    </sheetView>
  </sheetViews>
  <sheetFormatPr defaultRowHeight="12.75" x14ac:dyDescent="0.2"/>
  <cols>
    <col min="1" max="1" width="25.7109375" customWidth="1"/>
    <col min="2" max="2" width="20" bestFit="1" customWidth="1"/>
    <col min="3" max="3" width="18.28515625" bestFit="1" customWidth="1"/>
    <col min="4" max="4" width="16.5703125" bestFit="1" customWidth="1"/>
    <col min="5" max="6" width="10.5703125" customWidth="1"/>
    <col min="7" max="7" width="9.7109375" customWidth="1"/>
  </cols>
  <sheetData>
    <row r="1" spans="1:7" s="4" customFormat="1" ht="26.25" x14ac:dyDescent="0.4">
      <c r="A1" s="4" t="s">
        <v>79</v>
      </c>
    </row>
    <row r="2" spans="1:7" x14ac:dyDescent="0.2">
      <c r="A2" s="19"/>
      <c r="D2" s="19"/>
      <c r="E2" s="19"/>
      <c r="F2" s="19"/>
      <c r="G2" s="19"/>
    </row>
    <row r="3" spans="1:7" ht="15" x14ac:dyDescent="0.25">
      <c r="A3" s="50" t="s">
        <v>69</v>
      </c>
      <c r="D3" s="19"/>
      <c r="E3" s="19"/>
      <c r="F3" s="19"/>
      <c r="G3" s="50"/>
    </row>
    <row r="4" spans="1:7" ht="15" x14ac:dyDescent="0.25">
      <c r="A4" s="50"/>
      <c r="D4" s="19"/>
      <c r="E4" s="19"/>
      <c r="F4" s="19"/>
      <c r="G4" s="50"/>
    </row>
    <row r="5" spans="1:7" s="9" customFormat="1" x14ac:dyDescent="0.2">
      <c r="A5" s="10" t="s">
        <v>22</v>
      </c>
      <c r="B5" s="10">
        <v>813</v>
      </c>
      <c r="C5" s="10"/>
      <c r="D5" s="10"/>
      <c r="E5" s="10"/>
      <c r="F5" s="10"/>
    </row>
    <row r="6" spans="1:7" s="9" customFormat="1" x14ac:dyDescent="0.2">
      <c r="A6" s="13">
        <v>2020</v>
      </c>
      <c r="B6" s="57" t="s">
        <v>23</v>
      </c>
      <c r="C6" s="54" t="s">
        <v>24</v>
      </c>
      <c r="D6" s="56" t="s">
        <v>25</v>
      </c>
      <c r="E6" s="13" t="s">
        <v>8</v>
      </c>
      <c r="F6" s="6" t="s">
        <v>12</v>
      </c>
    </row>
    <row r="7" spans="1:7" s="9" customFormat="1" x14ac:dyDescent="0.2">
      <c r="A7" s="12" t="s">
        <v>9</v>
      </c>
      <c r="B7" s="17">
        <v>3736</v>
      </c>
      <c r="C7" s="17">
        <v>1955</v>
      </c>
      <c r="D7" s="26">
        <v>4068</v>
      </c>
      <c r="E7" s="16">
        <f>SUM(B7:D7)*H37</f>
        <v>8990.2872398685649</v>
      </c>
      <c r="F7" s="16">
        <f>E7*Enhedsforbrug!C7</f>
        <v>236.44455440854327</v>
      </c>
    </row>
    <row r="8" spans="1:7" s="9" customFormat="1" x14ac:dyDescent="0.2">
      <c r="A8" s="12" t="s">
        <v>7</v>
      </c>
      <c r="B8" s="17"/>
      <c r="C8" s="17">
        <v>0</v>
      </c>
      <c r="D8" s="26">
        <v>0</v>
      </c>
      <c r="E8" s="16">
        <f>SUM(B7:D7)*H38</f>
        <v>768.71276013143483</v>
      </c>
      <c r="F8" s="16">
        <f>E8*Enhedsforbrug!C8</f>
        <v>12.837503094194961</v>
      </c>
    </row>
    <row r="9" spans="1:7" s="9" customFormat="1" x14ac:dyDescent="0.2">
      <c r="A9" s="12" t="s">
        <v>2</v>
      </c>
      <c r="B9" s="17">
        <v>61</v>
      </c>
      <c r="C9" s="17">
        <v>224</v>
      </c>
      <c r="D9" s="26">
        <v>423</v>
      </c>
      <c r="E9" s="16">
        <f>SUM(B9:D9)</f>
        <v>708</v>
      </c>
      <c r="F9" s="16">
        <f>E9*Enhedsforbrug!C9</f>
        <v>92.394000000000005</v>
      </c>
    </row>
    <row r="10" spans="1:7" s="9" customFormat="1" x14ac:dyDescent="0.2">
      <c r="A10" s="12" t="s">
        <v>6</v>
      </c>
      <c r="B10" s="17">
        <v>8</v>
      </c>
      <c r="C10" s="17">
        <v>68</v>
      </c>
      <c r="D10" s="26">
        <v>33</v>
      </c>
      <c r="E10" s="16">
        <f t="shared" ref="E10:E12" si="0">SUM(B10:D10)</f>
        <v>109</v>
      </c>
      <c r="F10" s="91">
        <f>E10*Enhedsforbrug!C10</f>
        <v>66.228400000000008</v>
      </c>
    </row>
    <row r="11" spans="1:7" s="9" customFormat="1" x14ac:dyDescent="0.2">
      <c r="A11" s="12" t="s">
        <v>1</v>
      </c>
      <c r="B11" s="17">
        <v>308</v>
      </c>
      <c r="C11" s="17">
        <v>639</v>
      </c>
      <c r="D11" s="26">
        <v>869</v>
      </c>
      <c r="E11" s="16">
        <f t="shared" si="0"/>
        <v>1816</v>
      </c>
      <c r="F11" s="91">
        <f>E11*Enhedsforbrug!C11</f>
        <v>136.19999999999999</v>
      </c>
    </row>
    <row r="12" spans="1:7" s="9" customFormat="1" x14ac:dyDescent="0.2">
      <c r="A12" s="12" t="s">
        <v>3</v>
      </c>
      <c r="B12" s="17">
        <v>69</v>
      </c>
      <c r="C12" s="17">
        <v>834</v>
      </c>
      <c r="D12" s="26">
        <v>423</v>
      </c>
      <c r="E12" s="16">
        <f t="shared" si="0"/>
        <v>1326</v>
      </c>
      <c r="F12" s="91">
        <f>E12*Enhedsforbrug!C12</f>
        <v>243.71880000000002</v>
      </c>
    </row>
    <row r="13" spans="1:7" s="9" customFormat="1" x14ac:dyDescent="0.2">
      <c r="A13" s="12" t="s">
        <v>13</v>
      </c>
      <c r="B13" s="23"/>
      <c r="C13" s="23"/>
      <c r="D13" s="35"/>
      <c r="E13" s="16"/>
      <c r="F13" s="91">
        <f>SUM(F7:F9)</f>
        <v>341.67605750273822</v>
      </c>
    </row>
    <row r="14" spans="1:7" s="9" customFormat="1" x14ac:dyDescent="0.2"/>
    <row r="15" spans="1:7" s="9" customFormat="1" x14ac:dyDescent="0.2">
      <c r="A15" s="10" t="s">
        <v>22</v>
      </c>
      <c r="B15" s="10">
        <v>813</v>
      </c>
      <c r="C15" s="10"/>
      <c r="D15" s="10"/>
      <c r="E15" s="10"/>
      <c r="F15" s="10"/>
    </row>
    <row r="16" spans="1:7" s="9" customFormat="1" x14ac:dyDescent="0.2">
      <c r="A16" s="13">
        <v>2018</v>
      </c>
      <c r="B16" s="57" t="s">
        <v>23</v>
      </c>
      <c r="C16" s="54" t="s">
        <v>24</v>
      </c>
      <c r="D16" s="57" t="s">
        <v>25</v>
      </c>
      <c r="E16" s="13" t="s">
        <v>8</v>
      </c>
      <c r="F16" s="6" t="s">
        <v>12</v>
      </c>
    </row>
    <row r="17" spans="1:6" s="9" customFormat="1" x14ac:dyDescent="0.2">
      <c r="A17" s="12" t="s">
        <v>9</v>
      </c>
      <c r="B17" s="17">
        <v>3736</v>
      </c>
      <c r="C17" s="17">
        <v>2016</v>
      </c>
      <c r="D17" s="26">
        <v>4033</v>
      </c>
      <c r="E17" s="16">
        <v>9810</v>
      </c>
      <c r="F17" s="16">
        <v>258.00299999999999</v>
      </c>
    </row>
    <row r="18" spans="1:6" s="9" customFormat="1" x14ac:dyDescent="0.2">
      <c r="A18" s="12" t="s">
        <v>7</v>
      </c>
      <c r="B18" s="17"/>
      <c r="C18" s="17"/>
      <c r="D18" s="26">
        <v>863</v>
      </c>
      <c r="E18" s="16">
        <v>838</v>
      </c>
      <c r="F18" s="16">
        <v>13.9946</v>
      </c>
    </row>
    <row r="19" spans="1:6" s="9" customFormat="1" x14ac:dyDescent="0.2">
      <c r="A19" s="12" t="s">
        <v>2</v>
      </c>
      <c r="B19" s="17">
        <v>61</v>
      </c>
      <c r="C19" s="17">
        <v>249</v>
      </c>
      <c r="D19" s="26">
        <v>248</v>
      </c>
      <c r="E19" s="16">
        <v>558</v>
      </c>
      <c r="F19" s="16">
        <v>72.819000000000003</v>
      </c>
    </row>
    <row r="20" spans="1:6" s="9" customFormat="1" x14ac:dyDescent="0.2">
      <c r="A20" s="12" t="s">
        <v>6</v>
      </c>
      <c r="B20" s="17">
        <v>8</v>
      </c>
      <c r="C20" s="17">
        <v>76</v>
      </c>
      <c r="D20" s="26">
        <v>44</v>
      </c>
      <c r="E20" s="16">
        <v>128</v>
      </c>
      <c r="F20" s="22">
        <v>77.772800000000004</v>
      </c>
    </row>
    <row r="21" spans="1:6" s="9" customFormat="1" x14ac:dyDescent="0.2">
      <c r="A21" s="12" t="s">
        <v>1</v>
      </c>
      <c r="B21" s="17">
        <v>308</v>
      </c>
      <c r="C21" s="17">
        <v>688</v>
      </c>
      <c r="D21" s="26">
        <v>1775</v>
      </c>
      <c r="E21" s="16">
        <v>2771</v>
      </c>
      <c r="F21" s="22">
        <v>207.82499999999999</v>
      </c>
    </row>
    <row r="22" spans="1:6" s="9" customFormat="1" x14ac:dyDescent="0.2">
      <c r="A22" s="12" t="s">
        <v>3</v>
      </c>
      <c r="B22" s="17">
        <v>69</v>
      </c>
      <c r="C22" s="17">
        <v>857</v>
      </c>
      <c r="D22" s="26">
        <v>305</v>
      </c>
      <c r="E22" s="16">
        <v>1231</v>
      </c>
      <c r="F22" s="22">
        <v>226.25780000000003</v>
      </c>
    </row>
    <row r="23" spans="1:6" s="9" customFormat="1" x14ac:dyDescent="0.2">
      <c r="A23" s="12" t="s">
        <v>13</v>
      </c>
      <c r="B23" s="23"/>
      <c r="C23" s="23"/>
      <c r="D23" s="35"/>
      <c r="E23" s="16"/>
      <c r="F23" s="22">
        <v>344.81659999999999</v>
      </c>
    </row>
    <row r="24" spans="1:6" s="9" customFormat="1" x14ac:dyDescent="0.2"/>
    <row r="25" spans="1:6" s="9" customFormat="1" x14ac:dyDescent="0.2">
      <c r="A25" s="10" t="s">
        <v>22</v>
      </c>
      <c r="B25" s="10">
        <v>813</v>
      </c>
      <c r="C25" s="10"/>
      <c r="D25" s="10"/>
      <c r="E25" s="10"/>
      <c r="F25" s="10"/>
    </row>
    <row r="26" spans="1:6" s="9" customFormat="1" x14ac:dyDescent="0.2">
      <c r="A26" s="13">
        <v>2016</v>
      </c>
      <c r="B26" s="54" t="s">
        <v>23</v>
      </c>
      <c r="C26" s="54" t="s">
        <v>24</v>
      </c>
      <c r="D26" s="54" t="s">
        <v>25</v>
      </c>
      <c r="E26" s="13" t="s">
        <v>8</v>
      </c>
      <c r="F26" s="6" t="s">
        <v>12</v>
      </c>
    </row>
    <row r="27" spans="1:6" s="9" customFormat="1" x14ac:dyDescent="0.2">
      <c r="A27" s="12" t="s">
        <v>9</v>
      </c>
      <c r="B27" s="17">
        <v>3736</v>
      </c>
      <c r="C27" s="17">
        <v>2100</v>
      </c>
      <c r="D27" s="26">
        <v>4033</v>
      </c>
      <c r="E27" s="16">
        <v>9887</v>
      </c>
      <c r="F27" s="16">
        <v>260.02809999999999</v>
      </c>
    </row>
    <row r="28" spans="1:6" s="9" customFormat="1" x14ac:dyDescent="0.2">
      <c r="A28" s="12" t="s">
        <v>7</v>
      </c>
      <c r="B28" s="17"/>
      <c r="C28" s="17"/>
      <c r="D28" s="26">
        <v>863</v>
      </c>
      <c r="E28" s="16">
        <v>845</v>
      </c>
      <c r="F28" s="16">
        <v>14.111499999999999</v>
      </c>
    </row>
    <row r="29" spans="1:6" s="9" customFormat="1" x14ac:dyDescent="0.2">
      <c r="A29" s="12" t="s">
        <v>2</v>
      </c>
      <c r="B29" s="17">
        <v>61</v>
      </c>
      <c r="C29" s="17">
        <v>327</v>
      </c>
      <c r="D29" s="26">
        <v>248</v>
      </c>
      <c r="E29" s="16">
        <v>636</v>
      </c>
      <c r="F29" s="16">
        <v>82.998000000000005</v>
      </c>
    </row>
    <row r="30" spans="1:6" s="9" customFormat="1" x14ac:dyDescent="0.2">
      <c r="A30" s="12" t="s">
        <v>6</v>
      </c>
      <c r="B30" s="17">
        <v>8</v>
      </c>
      <c r="C30" s="17">
        <v>94</v>
      </c>
      <c r="D30" s="26">
        <v>44</v>
      </c>
      <c r="E30" s="16">
        <v>146</v>
      </c>
      <c r="F30" s="22">
        <v>88.709600000000009</v>
      </c>
    </row>
    <row r="31" spans="1:6" s="9" customFormat="1" x14ac:dyDescent="0.2">
      <c r="A31" s="12" t="s">
        <v>1</v>
      </c>
      <c r="B31" s="17">
        <v>308</v>
      </c>
      <c r="C31" s="17">
        <v>812</v>
      </c>
      <c r="D31" s="26">
        <v>1775</v>
      </c>
      <c r="E31" s="16">
        <v>2895</v>
      </c>
      <c r="F31" s="22">
        <v>217.125</v>
      </c>
    </row>
    <row r="32" spans="1:6" s="9" customFormat="1" x14ac:dyDescent="0.2">
      <c r="A32" s="12" t="s">
        <v>3</v>
      </c>
      <c r="B32" s="17">
        <v>69</v>
      </c>
      <c r="C32" s="17">
        <v>846</v>
      </c>
      <c r="D32" s="26">
        <v>305</v>
      </c>
      <c r="E32" s="16">
        <v>1220</v>
      </c>
      <c r="F32" s="22">
        <v>224.23600000000002</v>
      </c>
    </row>
    <row r="33" spans="1:8" s="9" customFormat="1" x14ac:dyDescent="0.2">
      <c r="A33" s="12" t="s">
        <v>13</v>
      </c>
      <c r="B33" s="23"/>
      <c r="C33" s="23"/>
      <c r="D33" s="35"/>
      <c r="E33" s="16"/>
      <c r="F33" s="22">
        <v>357.13759999999996</v>
      </c>
    </row>
    <row r="34" spans="1:8" s="9" customFormat="1" x14ac:dyDescent="0.2">
      <c r="B34" s="18"/>
      <c r="C34" s="18"/>
      <c r="D34" s="15" t="s">
        <v>70</v>
      </c>
      <c r="E34" s="18"/>
      <c r="F34" s="18"/>
    </row>
    <row r="35" spans="1:8" s="9" customFormat="1" x14ac:dyDescent="0.2">
      <c r="A35" s="10" t="s">
        <v>22</v>
      </c>
      <c r="B35" s="15">
        <v>813</v>
      </c>
      <c r="C35" s="15"/>
      <c r="D35" s="15"/>
      <c r="E35" s="15"/>
      <c r="F35" s="15"/>
    </row>
    <row r="36" spans="1:8" x14ac:dyDescent="0.2">
      <c r="A36" s="13">
        <v>2010</v>
      </c>
      <c r="B36" s="55" t="s">
        <v>23</v>
      </c>
      <c r="C36" s="55" t="s">
        <v>24</v>
      </c>
      <c r="D36" s="56" t="s">
        <v>25</v>
      </c>
      <c r="E36" s="23" t="s">
        <v>8</v>
      </c>
      <c r="F36" s="24" t="s">
        <v>12</v>
      </c>
      <c r="G36" s="9"/>
    </row>
    <row r="37" spans="1:8" x14ac:dyDescent="0.2">
      <c r="A37" s="12" t="s">
        <v>9</v>
      </c>
      <c r="B37" s="17">
        <v>3849</v>
      </c>
      <c r="C37" s="17">
        <v>2211</v>
      </c>
      <c r="D37" s="17">
        <v>4033</v>
      </c>
      <c r="E37" s="16">
        <v>10093</v>
      </c>
      <c r="F37" s="16">
        <v>265.44589999999999</v>
      </c>
      <c r="G37" s="9"/>
      <c r="H37" s="41">
        <f>E37/(E37+E38)</f>
        <v>0.92123037604965319</v>
      </c>
    </row>
    <row r="38" spans="1:8" x14ac:dyDescent="0.2">
      <c r="A38" s="12" t="s">
        <v>7</v>
      </c>
      <c r="B38" s="17"/>
      <c r="C38" s="17"/>
      <c r="D38" s="17">
        <v>863</v>
      </c>
      <c r="E38" s="16">
        <v>863</v>
      </c>
      <c r="F38" s="16">
        <v>14.412099999999999</v>
      </c>
      <c r="G38" s="9"/>
      <c r="H38" s="41">
        <f>D38/(E37+E38)</f>
        <v>7.876962395034684E-2</v>
      </c>
    </row>
    <row r="39" spans="1:8" x14ac:dyDescent="0.2">
      <c r="A39" s="12" t="s">
        <v>2</v>
      </c>
      <c r="B39" s="17">
        <v>98</v>
      </c>
      <c r="C39" s="17">
        <v>537</v>
      </c>
      <c r="D39" s="17">
        <v>253</v>
      </c>
      <c r="E39" s="16">
        <v>888</v>
      </c>
      <c r="F39" s="16">
        <v>115.884</v>
      </c>
      <c r="G39" s="9"/>
    </row>
    <row r="40" spans="1:8" x14ac:dyDescent="0.2">
      <c r="A40" s="12" t="s">
        <v>6</v>
      </c>
      <c r="B40" s="17">
        <v>13</v>
      </c>
      <c r="C40" s="17">
        <v>114</v>
      </c>
      <c r="D40" s="17">
        <v>49</v>
      </c>
      <c r="E40" s="16">
        <v>176</v>
      </c>
      <c r="F40" s="22">
        <v>106.9376</v>
      </c>
      <c r="G40" s="9"/>
    </row>
    <row r="41" spans="1:8" x14ac:dyDescent="0.2">
      <c r="A41" s="12" t="s">
        <v>1</v>
      </c>
      <c r="B41" s="17">
        <v>508</v>
      </c>
      <c r="C41" s="17">
        <v>1622</v>
      </c>
      <c r="D41" s="17">
        <v>1808</v>
      </c>
      <c r="E41" s="16">
        <v>3938</v>
      </c>
      <c r="F41" s="22">
        <v>295.34999999999997</v>
      </c>
      <c r="G41" s="9"/>
    </row>
    <row r="42" spans="1:8" x14ac:dyDescent="0.2">
      <c r="A42" s="12" t="s">
        <v>3</v>
      </c>
      <c r="B42" s="17">
        <v>86</v>
      </c>
      <c r="C42" s="17">
        <v>498</v>
      </c>
      <c r="D42" s="17">
        <v>295</v>
      </c>
      <c r="E42" s="16">
        <v>879</v>
      </c>
      <c r="F42" s="22">
        <v>161.56020000000001</v>
      </c>
      <c r="G42" s="9"/>
    </row>
    <row r="43" spans="1:8" x14ac:dyDescent="0.2">
      <c r="A43" s="12" t="s">
        <v>13</v>
      </c>
      <c r="B43" s="23"/>
      <c r="C43" s="23"/>
      <c r="D43" s="16"/>
      <c r="E43" s="16"/>
      <c r="F43" s="22">
        <v>395.74200000000002</v>
      </c>
      <c r="G43" s="9"/>
    </row>
    <row r="44" spans="1:8" x14ac:dyDescent="0.2">
      <c r="A44" s="9"/>
      <c r="B44" s="9"/>
      <c r="C44" s="9"/>
      <c r="D44" s="9"/>
      <c r="E44" s="9"/>
      <c r="F44" s="9"/>
      <c r="G44" s="9"/>
    </row>
    <row r="45" spans="1:8" x14ac:dyDescent="0.2">
      <c r="A45" s="9"/>
      <c r="B45" s="9"/>
      <c r="C45" s="9"/>
      <c r="D45" s="9"/>
      <c r="E45" s="9"/>
      <c r="F45" s="10"/>
      <c r="G45" s="9"/>
    </row>
    <row r="47" spans="1:8" x14ac:dyDescent="0.2">
      <c r="A47" s="69" t="s">
        <v>74</v>
      </c>
      <c r="G47" s="69"/>
    </row>
    <row r="48" spans="1:8" x14ac:dyDescent="0.2">
      <c r="A48" s="58" t="s">
        <v>71</v>
      </c>
    </row>
    <row r="49" spans="1:1" ht="25.5" x14ac:dyDescent="0.2">
      <c r="A49" s="59" t="s">
        <v>72</v>
      </c>
    </row>
    <row r="50" spans="1:1" x14ac:dyDescent="0.2">
      <c r="A50" s="60" t="s">
        <v>73</v>
      </c>
    </row>
    <row r="51" spans="1:1" ht="25.5" x14ac:dyDescent="0.2">
      <c r="A51" s="61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407B-7B1B-4BA6-B41F-FCDEDC6B365D}">
  <dimension ref="A1:BD61"/>
  <sheetViews>
    <sheetView showGridLines="0" zoomScale="85" zoomScaleNormal="85" workbookViewId="0">
      <selection activeCell="D57" sqref="D57"/>
    </sheetView>
  </sheetViews>
  <sheetFormatPr defaultRowHeight="12.75" x14ac:dyDescent="0.2"/>
  <cols>
    <col min="1" max="6" width="25.7109375" customWidth="1"/>
    <col min="9" max="9" width="11.42578125" customWidth="1"/>
    <col min="10" max="10" width="9.28515625" customWidth="1"/>
    <col min="17" max="18" width="13" customWidth="1"/>
  </cols>
  <sheetData>
    <row r="1" spans="1:56" ht="26.25" x14ac:dyDescent="0.4">
      <c r="A1" s="38" t="s">
        <v>79</v>
      </c>
      <c r="B1" s="39"/>
      <c r="C1" s="39"/>
      <c r="D1" s="39"/>
      <c r="E1" s="39"/>
      <c r="F1" s="39"/>
      <c r="I1" s="39"/>
      <c r="J1" s="39"/>
      <c r="K1" s="39"/>
      <c r="L1" s="39"/>
      <c r="M1" s="39"/>
      <c r="N1" s="39"/>
      <c r="O1" s="39"/>
      <c r="P1" s="39"/>
      <c r="Q1" s="38"/>
      <c r="R1" s="38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</row>
    <row r="2" spans="1:56" x14ac:dyDescent="0.2">
      <c r="A2" s="19"/>
      <c r="B2" s="19"/>
      <c r="C2" s="19"/>
      <c r="D2" s="19"/>
      <c r="E2" s="19"/>
      <c r="Q2" s="19"/>
      <c r="R2" s="19"/>
    </row>
    <row r="3" spans="1:56" ht="15" x14ac:dyDescent="0.25">
      <c r="A3" s="50" t="s">
        <v>69</v>
      </c>
      <c r="B3" s="19"/>
      <c r="C3" s="19"/>
      <c r="D3" s="19"/>
      <c r="E3" s="19"/>
      <c r="Q3" s="50"/>
      <c r="R3" s="50"/>
    </row>
    <row r="4" spans="1:56" ht="14.25" x14ac:dyDescent="0.2">
      <c r="A4" s="51"/>
      <c r="B4" s="19"/>
      <c r="C4" s="19"/>
      <c r="D4" s="19"/>
      <c r="E4" s="19"/>
      <c r="Q4" s="51"/>
      <c r="R4" s="51"/>
    </row>
    <row r="5" spans="1:56" x14ac:dyDescent="0.2">
      <c r="A5" s="19" t="s">
        <v>26</v>
      </c>
      <c r="B5" s="19">
        <v>860</v>
      </c>
      <c r="C5" s="19"/>
      <c r="D5" s="19"/>
      <c r="E5" s="19"/>
      <c r="F5" s="19"/>
      <c r="H5" s="79"/>
      <c r="K5" s="19"/>
      <c r="L5" s="19"/>
      <c r="Q5" s="19"/>
      <c r="R5" s="19"/>
    </row>
    <row r="6" spans="1:56" x14ac:dyDescent="0.2">
      <c r="A6" s="21">
        <v>2020</v>
      </c>
      <c r="B6" s="57" t="s">
        <v>16</v>
      </c>
      <c r="C6" s="57" t="s">
        <v>23</v>
      </c>
      <c r="D6" s="57" t="s">
        <v>78</v>
      </c>
      <c r="E6" s="54" t="s">
        <v>24</v>
      </c>
      <c r="F6" s="57" t="s">
        <v>20</v>
      </c>
      <c r="G6" s="21" t="s">
        <v>8</v>
      </c>
      <c r="H6" s="40" t="s">
        <v>12</v>
      </c>
      <c r="K6" s="19"/>
      <c r="L6" s="19"/>
    </row>
    <row r="7" spans="1:56" x14ac:dyDescent="0.2">
      <c r="A7" s="64" t="s">
        <v>9</v>
      </c>
      <c r="B7" s="17">
        <v>570</v>
      </c>
      <c r="C7" s="17">
        <v>3731</v>
      </c>
      <c r="D7" s="17">
        <v>4568</v>
      </c>
      <c r="E7" s="26">
        <v>985</v>
      </c>
      <c r="F7" s="26">
        <v>710</v>
      </c>
      <c r="G7" s="16">
        <f>(SUM(B7:F8)*J47)</f>
        <v>10489.718217562255</v>
      </c>
      <c r="H7" s="16">
        <f>G7*Enhedsforbrug!C7</f>
        <v>275.87958912188731</v>
      </c>
      <c r="K7" s="19"/>
    </row>
    <row r="8" spans="1:56" x14ac:dyDescent="0.2">
      <c r="A8" s="64" t="s">
        <v>7</v>
      </c>
      <c r="B8" s="15"/>
      <c r="C8" s="17"/>
      <c r="D8" s="17">
        <v>2546</v>
      </c>
      <c r="E8" s="26">
        <v>0</v>
      </c>
      <c r="F8" s="26"/>
      <c r="G8" s="16">
        <f>(SUM(B7:F8)*J48)</f>
        <v>2620.2817824377457</v>
      </c>
      <c r="H8" s="16">
        <f>G8*Enhedsforbrug!C8</f>
        <v>43.758705766710349</v>
      </c>
      <c r="K8" s="19"/>
    </row>
    <row r="9" spans="1:56" x14ac:dyDescent="0.2">
      <c r="A9" s="64" t="s">
        <v>2</v>
      </c>
      <c r="B9" s="17">
        <v>37</v>
      </c>
      <c r="C9" s="17">
        <v>211</v>
      </c>
      <c r="D9" s="17">
        <v>346</v>
      </c>
      <c r="E9" s="26">
        <v>227</v>
      </c>
      <c r="F9" s="26">
        <v>19</v>
      </c>
      <c r="G9" s="16">
        <f t="shared" ref="G9:G12" si="0">SUM(B9:F9)</f>
        <v>840</v>
      </c>
      <c r="H9" s="16">
        <f>G9*Enhedsforbrug!C9</f>
        <v>109.62</v>
      </c>
      <c r="K9" s="19"/>
    </row>
    <row r="10" spans="1:56" x14ac:dyDescent="0.2">
      <c r="A10" s="64" t="s">
        <v>6</v>
      </c>
      <c r="B10" s="17">
        <v>10</v>
      </c>
      <c r="C10" s="17">
        <v>31</v>
      </c>
      <c r="D10" s="17">
        <v>93</v>
      </c>
      <c r="E10" s="26">
        <v>41</v>
      </c>
      <c r="F10" s="86">
        <v>17</v>
      </c>
      <c r="G10" s="16">
        <f t="shared" si="0"/>
        <v>192</v>
      </c>
      <c r="H10" s="22">
        <f>G10*Enhedsforbrug!C10</f>
        <v>116.6592</v>
      </c>
      <c r="K10" s="19"/>
    </row>
    <row r="11" spans="1:56" x14ac:dyDescent="0.2">
      <c r="A11" s="64" t="s">
        <v>1</v>
      </c>
      <c r="B11" s="17">
        <v>139</v>
      </c>
      <c r="C11" s="17">
        <v>767</v>
      </c>
      <c r="D11" s="17">
        <v>1198</v>
      </c>
      <c r="E11" s="26">
        <v>545</v>
      </c>
      <c r="F11" s="86">
        <v>161</v>
      </c>
      <c r="G11" s="16">
        <f t="shared" si="0"/>
        <v>2810</v>
      </c>
      <c r="H11" s="22">
        <f>G11*Enhedsforbrug!C11</f>
        <v>210.75</v>
      </c>
      <c r="K11" s="19"/>
    </row>
    <row r="12" spans="1:56" x14ac:dyDescent="0.2">
      <c r="A12" s="64" t="s">
        <v>3</v>
      </c>
      <c r="B12" s="17">
        <v>97</v>
      </c>
      <c r="C12" s="17">
        <v>459</v>
      </c>
      <c r="D12" s="17">
        <v>1381</v>
      </c>
      <c r="E12" s="26">
        <v>619</v>
      </c>
      <c r="F12" s="86">
        <v>92</v>
      </c>
      <c r="G12" s="16">
        <f t="shared" si="0"/>
        <v>2648</v>
      </c>
      <c r="H12" s="22">
        <f>G12*Enhedsforbrug!C12</f>
        <v>486.70240000000007</v>
      </c>
      <c r="K12" s="19"/>
      <c r="M12" s="44"/>
    </row>
    <row r="13" spans="1:56" x14ac:dyDescent="0.2">
      <c r="A13" s="64" t="s">
        <v>13</v>
      </c>
      <c r="B13" s="21"/>
      <c r="C13" s="21"/>
      <c r="D13" s="85"/>
      <c r="E13" s="85"/>
      <c r="F13" s="90"/>
      <c r="G13" s="16"/>
      <c r="H13" s="83">
        <f>SUM(H7:H9)</f>
        <v>429.25829488859767</v>
      </c>
      <c r="K13" s="19"/>
    </row>
    <row r="14" spans="1:56" x14ac:dyDescent="0.2">
      <c r="K14" s="19"/>
    </row>
    <row r="15" spans="1:56" x14ac:dyDescent="0.2">
      <c r="A15" s="19" t="s">
        <v>26</v>
      </c>
      <c r="B15" s="19">
        <v>860</v>
      </c>
      <c r="C15" s="19"/>
      <c r="D15" s="19"/>
      <c r="E15" s="19"/>
      <c r="F15" s="19"/>
      <c r="J15" s="19"/>
      <c r="K15" s="19"/>
      <c r="M15" s="20"/>
      <c r="N15" s="19"/>
      <c r="O15" s="19"/>
      <c r="P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</row>
    <row r="16" spans="1:56" x14ac:dyDescent="0.2">
      <c r="A16" s="21">
        <v>2018</v>
      </c>
      <c r="B16" s="57" t="s">
        <v>16</v>
      </c>
      <c r="C16" s="57" t="s">
        <v>23</v>
      </c>
      <c r="D16" s="54" t="s">
        <v>78</v>
      </c>
      <c r="E16" s="54" t="s">
        <v>24</v>
      </c>
      <c r="F16" s="57" t="s">
        <v>20</v>
      </c>
      <c r="G16" s="21" t="s">
        <v>8</v>
      </c>
      <c r="H16" s="40" t="s">
        <v>12</v>
      </c>
      <c r="K16" s="19"/>
      <c r="M16" s="20"/>
      <c r="N16" s="19"/>
      <c r="O16" s="19"/>
      <c r="P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</row>
    <row r="17" spans="1:56" x14ac:dyDescent="0.2">
      <c r="A17" s="64" t="s">
        <v>9</v>
      </c>
      <c r="B17" s="17">
        <v>570</v>
      </c>
      <c r="C17" s="17">
        <v>3731</v>
      </c>
      <c r="D17" s="17">
        <v>4568</v>
      </c>
      <c r="E17" s="26">
        <v>1014</v>
      </c>
      <c r="F17" s="26">
        <v>710</v>
      </c>
      <c r="G17" s="16">
        <v>10513</v>
      </c>
      <c r="H17" s="16">
        <v>276.49189999999999</v>
      </c>
      <c r="J17" s="41"/>
      <c r="K17" s="19"/>
      <c r="M17" s="20"/>
      <c r="N17" s="19"/>
      <c r="O17" s="19"/>
      <c r="P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</row>
    <row r="18" spans="1:56" x14ac:dyDescent="0.2">
      <c r="A18" s="64" t="s">
        <v>7</v>
      </c>
      <c r="B18" s="15"/>
      <c r="C18" s="17"/>
      <c r="D18" s="17">
        <v>2546</v>
      </c>
      <c r="E18" s="26"/>
      <c r="F18" s="26"/>
      <c r="G18" s="16">
        <v>2626</v>
      </c>
      <c r="H18" s="16">
        <v>43.854199999999999</v>
      </c>
      <c r="J18" s="41"/>
      <c r="K18" s="19"/>
      <c r="M18" s="20"/>
      <c r="N18" s="19"/>
      <c r="O18" s="19"/>
      <c r="P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</row>
    <row r="19" spans="1:56" x14ac:dyDescent="0.2">
      <c r="A19" s="64" t="s">
        <v>2</v>
      </c>
      <c r="B19" s="17">
        <v>37</v>
      </c>
      <c r="C19" s="17">
        <v>211</v>
      </c>
      <c r="D19" s="17">
        <v>346</v>
      </c>
      <c r="E19" s="26">
        <v>241</v>
      </c>
      <c r="F19" s="26">
        <v>19</v>
      </c>
      <c r="G19" s="16">
        <v>854</v>
      </c>
      <c r="H19" s="16">
        <v>111.447</v>
      </c>
      <c r="J19" s="19"/>
      <c r="K19" s="19"/>
      <c r="M19" s="20"/>
      <c r="N19" s="19"/>
      <c r="O19" s="19"/>
      <c r="P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</row>
    <row r="20" spans="1:56" x14ac:dyDescent="0.2">
      <c r="A20" s="64" t="s">
        <v>6</v>
      </c>
      <c r="B20" s="17">
        <v>10</v>
      </c>
      <c r="C20" s="17">
        <v>31</v>
      </c>
      <c r="D20" s="17">
        <v>93</v>
      </c>
      <c r="E20" s="26">
        <v>43</v>
      </c>
      <c r="F20" s="26">
        <v>17</v>
      </c>
      <c r="G20" s="16">
        <v>194</v>
      </c>
      <c r="H20" s="22">
        <v>117.87440000000001</v>
      </c>
      <c r="J20" s="19"/>
      <c r="K20" s="19"/>
      <c r="M20" s="20"/>
      <c r="N20" s="19"/>
      <c r="O20" s="19"/>
      <c r="P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</row>
    <row r="21" spans="1:56" x14ac:dyDescent="0.2">
      <c r="A21" s="64" t="s">
        <v>1</v>
      </c>
      <c r="B21" s="17">
        <v>139</v>
      </c>
      <c r="C21" s="17">
        <v>767</v>
      </c>
      <c r="D21" s="17">
        <v>1198</v>
      </c>
      <c r="E21" s="26">
        <v>579</v>
      </c>
      <c r="F21" s="26">
        <v>161</v>
      </c>
      <c r="G21" s="16">
        <v>2844</v>
      </c>
      <c r="H21" s="22">
        <v>213.29999999999998</v>
      </c>
      <c r="J21" s="19"/>
      <c r="K21" s="19"/>
      <c r="M21" s="20"/>
      <c r="N21" s="19"/>
      <c r="O21" s="19"/>
      <c r="P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</row>
    <row r="22" spans="1:56" x14ac:dyDescent="0.2">
      <c r="A22" s="64" t="s">
        <v>3</v>
      </c>
      <c r="B22" s="17">
        <v>97</v>
      </c>
      <c r="C22" s="17">
        <v>459</v>
      </c>
      <c r="D22" s="17">
        <v>1381</v>
      </c>
      <c r="E22" s="26">
        <v>651</v>
      </c>
      <c r="F22" s="26">
        <v>92</v>
      </c>
      <c r="G22" s="16">
        <v>2680</v>
      </c>
      <c r="H22" s="22">
        <v>492.58400000000006</v>
      </c>
      <c r="J22" s="19"/>
      <c r="K22" s="19"/>
      <c r="M22" s="20"/>
      <c r="N22" s="19"/>
      <c r="O22" s="19"/>
      <c r="P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</row>
    <row r="23" spans="1:56" x14ac:dyDescent="0.2">
      <c r="A23" s="64" t="s">
        <v>13</v>
      </c>
      <c r="B23" s="21"/>
      <c r="C23" s="21"/>
      <c r="D23" s="21"/>
      <c r="E23" s="21"/>
      <c r="F23" s="21"/>
      <c r="G23" s="16"/>
      <c r="H23" s="67">
        <v>431.79309999999998</v>
      </c>
      <c r="J23" s="19"/>
      <c r="K23" s="19"/>
      <c r="M23" s="20"/>
      <c r="N23" s="19"/>
      <c r="O23" s="19"/>
      <c r="P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</row>
    <row r="24" spans="1:56" x14ac:dyDescent="0.2">
      <c r="A24" s="19"/>
      <c r="B24" s="69"/>
      <c r="C24" s="69"/>
      <c r="D24" s="19"/>
      <c r="E24" s="19"/>
      <c r="F24" s="19"/>
      <c r="G24" s="15"/>
      <c r="H24" s="19"/>
      <c r="J24" s="19"/>
      <c r="K24" s="19"/>
      <c r="M24" s="20"/>
      <c r="N24" s="19"/>
      <c r="O24" s="19"/>
      <c r="P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</row>
    <row r="25" spans="1:56" x14ac:dyDescent="0.2">
      <c r="A25" s="19" t="s">
        <v>26</v>
      </c>
      <c r="B25" s="19">
        <v>860</v>
      </c>
      <c r="C25" s="19"/>
      <c r="D25" s="19"/>
      <c r="E25" s="19"/>
      <c r="F25" s="19"/>
      <c r="G25" s="19"/>
      <c r="H25" s="19"/>
      <c r="J25" s="19"/>
      <c r="K25" s="19"/>
      <c r="M25" s="20"/>
      <c r="N25" s="19"/>
      <c r="O25" s="19"/>
      <c r="P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</row>
    <row r="26" spans="1:56" x14ac:dyDescent="0.2">
      <c r="A26" s="21">
        <v>2016</v>
      </c>
      <c r="B26" s="54" t="s">
        <v>16</v>
      </c>
      <c r="C26" s="54" t="s">
        <v>23</v>
      </c>
      <c r="D26" s="56" t="s">
        <v>27</v>
      </c>
      <c r="E26" s="54" t="s">
        <v>24</v>
      </c>
      <c r="F26" s="56" t="s">
        <v>20</v>
      </c>
      <c r="G26" s="21" t="s">
        <v>8</v>
      </c>
      <c r="H26" s="40" t="s">
        <v>12</v>
      </c>
      <c r="J26" s="19"/>
      <c r="M26" s="20"/>
      <c r="N26" s="19"/>
      <c r="O26" s="19"/>
      <c r="P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</row>
    <row r="27" spans="1:56" x14ac:dyDescent="0.2">
      <c r="A27" s="64" t="s">
        <v>9</v>
      </c>
      <c r="B27" s="17">
        <v>570</v>
      </c>
      <c r="C27" s="17">
        <v>3731</v>
      </c>
      <c r="D27" s="17">
        <v>4645</v>
      </c>
      <c r="E27" s="26">
        <v>1031</v>
      </c>
      <c r="F27" s="26">
        <v>710</v>
      </c>
      <c r="G27" s="16">
        <v>10527</v>
      </c>
      <c r="H27" s="16">
        <v>276.86009999999999</v>
      </c>
      <c r="J27" s="41"/>
      <c r="M27" s="20"/>
      <c r="N27" s="19"/>
      <c r="O27" s="19"/>
      <c r="P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</row>
    <row r="28" spans="1:56" x14ac:dyDescent="0.2">
      <c r="A28" s="64" t="s">
        <v>7</v>
      </c>
      <c r="B28" s="15"/>
      <c r="C28" s="17"/>
      <c r="D28" s="17">
        <v>2470</v>
      </c>
      <c r="E28" s="26"/>
      <c r="F28" s="26"/>
      <c r="G28" s="16">
        <v>2630</v>
      </c>
      <c r="H28" s="16">
        <v>43.920999999999999</v>
      </c>
      <c r="J28" s="41"/>
      <c r="M28" s="20"/>
      <c r="N28" s="19"/>
      <c r="O28" s="19"/>
      <c r="P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</row>
    <row r="29" spans="1:56" x14ac:dyDescent="0.2">
      <c r="A29" s="64" t="s">
        <v>2</v>
      </c>
      <c r="B29" s="17">
        <v>37</v>
      </c>
      <c r="C29" s="17">
        <v>211</v>
      </c>
      <c r="D29" s="17">
        <v>686</v>
      </c>
      <c r="E29" s="26">
        <v>277</v>
      </c>
      <c r="F29" s="26">
        <v>19</v>
      </c>
      <c r="G29" s="16">
        <v>1230</v>
      </c>
      <c r="H29" s="16">
        <v>160.51500000000001</v>
      </c>
      <c r="J29" s="19"/>
      <c r="K29" s="19"/>
      <c r="M29" s="20"/>
      <c r="N29" s="19"/>
      <c r="O29" s="19"/>
      <c r="P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</row>
    <row r="30" spans="1:56" x14ac:dyDescent="0.2">
      <c r="A30" s="64" t="s">
        <v>6</v>
      </c>
      <c r="B30" s="17">
        <v>10</v>
      </c>
      <c r="C30" s="17">
        <v>31</v>
      </c>
      <c r="D30" s="17">
        <v>97</v>
      </c>
      <c r="E30" s="26">
        <v>48</v>
      </c>
      <c r="F30" s="26">
        <v>17</v>
      </c>
      <c r="G30" s="16">
        <v>203</v>
      </c>
      <c r="H30" s="22">
        <v>123.34280000000001</v>
      </c>
      <c r="J30" s="19"/>
      <c r="K30" s="19"/>
      <c r="M30" s="20"/>
      <c r="N30" s="19"/>
      <c r="O30" s="19"/>
      <c r="P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</row>
    <row r="31" spans="1:56" x14ac:dyDescent="0.2">
      <c r="A31" s="64" t="s">
        <v>1</v>
      </c>
      <c r="B31" s="17">
        <v>139</v>
      </c>
      <c r="C31" s="17">
        <v>767</v>
      </c>
      <c r="D31" s="17">
        <v>2505</v>
      </c>
      <c r="E31" s="26">
        <v>630</v>
      </c>
      <c r="F31" s="26">
        <v>161</v>
      </c>
      <c r="G31" s="16">
        <v>4202</v>
      </c>
      <c r="H31" s="22">
        <v>315.14999999999998</v>
      </c>
      <c r="J31" s="19"/>
      <c r="K31" s="19"/>
      <c r="M31" s="20"/>
      <c r="N31" s="19"/>
      <c r="O31" s="19"/>
      <c r="P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</row>
    <row r="32" spans="1:56" x14ac:dyDescent="0.2">
      <c r="A32" s="64" t="s">
        <v>3</v>
      </c>
      <c r="B32" s="17">
        <v>97</v>
      </c>
      <c r="C32" s="17">
        <v>459</v>
      </c>
      <c r="D32" s="17">
        <v>1440</v>
      </c>
      <c r="E32" s="26">
        <v>652</v>
      </c>
      <c r="F32" s="26">
        <v>92</v>
      </c>
      <c r="G32" s="16">
        <v>2740</v>
      </c>
      <c r="H32" s="22">
        <v>503.61200000000008</v>
      </c>
      <c r="J32" s="19"/>
      <c r="K32" s="19"/>
      <c r="M32" s="20"/>
      <c r="N32" s="19"/>
      <c r="O32" s="19"/>
      <c r="P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</row>
    <row r="33" spans="1:56" x14ac:dyDescent="0.2">
      <c r="A33" s="64" t="s">
        <v>13</v>
      </c>
      <c r="B33" s="21"/>
      <c r="C33" s="21"/>
      <c r="D33" s="21"/>
      <c r="E33" s="21"/>
      <c r="F33" s="21"/>
      <c r="G33" s="16"/>
      <c r="H33" s="67">
        <v>481.29610000000002</v>
      </c>
      <c r="J33" s="19"/>
      <c r="K33" s="19"/>
      <c r="M33" s="20"/>
      <c r="N33" s="19"/>
      <c r="O33" s="19"/>
      <c r="P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</row>
    <row r="34" spans="1:56" x14ac:dyDescent="0.2">
      <c r="A34" s="19"/>
      <c r="B34" s="69"/>
      <c r="C34" s="69"/>
      <c r="D34" s="19"/>
      <c r="E34" s="19"/>
      <c r="F34" s="19"/>
      <c r="G34" s="19"/>
      <c r="H34" s="15"/>
      <c r="J34" s="19"/>
      <c r="K34" s="19"/>
      <c r="M34" s="20"/>
      <c r="N34" s="19"/>
      <c r="O34" s="19"/>
      <c r="P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</row>
    <row r="35" spans="1:56" x14ac:dyDescent="0.2">
      <c r="A35" s="19" t="s">
        <v>26</v>
      </c>
      <c r="B35" s="19">
        <v>860</v>
      </c>
      <c r="C35" s="19"/>
      <c r="D35" s="19"/>
      <c r="E35" s="19"/>
      <c r="F35" s="19"/>
      <c r="G35" s="19"/>
      <c r="H35" s="19"/>
      <c r="J35" s="19"/>
      <c r="K35" s="19"/>
      <c r="M35" s="20"/>
      <c r="N35" s="19"/>
      <c r="O35" s="19"/>
      <c r="P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</row>
    <row r="36" spans="1:56" x14ac:dyDescent="0.2">
      <c r="A36" s="21">
        <v>2014</v>
      </c>
      <c r="B36" s="56" t="s">
        <v>16</v>
      </c>
      <c r="C36" s="56" t="s">
        <v>23</v>
      </c>
      <c r="D36" s="56" t="s">
        <v>27</v>
      </c>
      <c r="E36" s="56" t="s">
        <v>24</v>
      </c>
      <c r="F36" s="21" t="s">
        <v>8</v>
      </c>
      <c r="G36" s="40" t="s">
        <v>12</v>
      </c>
      <c r="J36" s="19"/>
      <c r="K36" s="19"/>
      <c r="M36" s="20"/>
      <c r="N36" s="19"/>
      <c r="O36" s="19"/>
      <c r="P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</row>
    <row r="37" spans="1:56" x14ac:dyDescent="0.2">
      <c r="A37" s="64" t="s">
        <v>9</v>
      </c>
      <c r="B37" s="17">
        <v>234</v>
      </c>
      <c r="C37" s="17">
        <v>3419</v>
      </c>
      <c r="D37" s="17">
        <v>4650</v>
      </c>
      <c r="E37" s="26">
        <v>1391</v>
      </c>
      <c r="F37" s="16">
        <v>9694</v>
      </c>
      <c r="G37" s="65">
        <v>254.9522</v>
      </c>
      <c r="J37" s="41"/>
      <c r="M37" s="20"/>
      <c r="N37" s="19"/>
      <c r="O37" s="19"/>
      <c r="P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</row>
    <row r="38" spans="1:56" x14ac:dyDescent="0.2">
      <c r="A38" s="64" t="s">
        <v>7</v>
      </c>
      <c r="B38" s="15">
        <v>292</v>
      </c>
      <c r="C38" s="17">
        <v>0</v>
      </c>
      <c r="D38" s="17">
        <v>2460</v>
      </c>
      <c r="E38" s="26">
        <v>0</v>
      </c>
      <c r="F38" s="16">
        <v>2752</v>
      </c>
      <c r="G38" s="65">
        <v>45.958399999999997</v>
      </c>
      <c r="J38" s="41"/>
      <c r="M38" s="20"/>
      <c r="N38" s="19"/>
      <c r="O38" s="19"/>
      <c r="P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</row>
    <row r="39" spans="1:56" x14ac:dyDescent="0.2">
      <c r="A39" s="64" t="s">
        <v>2</v>
      </c>
      <c r="B39" s="17">
        <v>40</v>
      </c>
      <c r="C39" s="17">
        <v>239</v>
      </c>
      <c r="D39" s="17">
        <v>620</v>
      </c>
      <c r="E39" s="26">
        <v>383</v>
      </c>
      <c r="F39" s="16">
        <v>1282</v>
      </c>
      <c r="G39" s="65">
        <v>167.30100000000002</v>
      </c>
      <c r="K39" s="19"/>
      <c r="L39" s="42"/>
      <c r="M39" s="20"/>
    </row>
    <row r="40" spans="1:56" x14ac:dyDescent="0.2">
      <c r="A40" s="64" t="s">
        <v>6</v>
      </c>
      <c r="B40" s="17">
        <v>11</v>
      </c>
      <c r="C40" s="17">
        <v>18</v>
      </c>
      <c r="D40" s="17">
        <v>100</v>
      </c>
      <c r="E40" s="26">
        <v>43</v>
      </c>
      <c r="F40" s="16">
        <v>172</v>
      </c>
      <c r="G40" s="66">
        <v>104.50720000000001</v>
      </c>
      <c r="K40" s="19"/>
      <c r="L40" s="19"/>
      <c r="M40" s="20"/>
    </row>
    <row r="41" spans="1:56" x14ac:dyDescent="0.2">
      <c r="A41" s="64" t="s">
        <v>1</v>
      </c>
      <c r="B41" s="17">
        <v>240</v>
      </c>
      <c r="C41" s="17">
        <v>1132</v>
      </c>
      <c r="D41" s="17">
        <v>2555</v>
      </c>
      <c r="E41" s="26">
        <v>1068</v>
      </c>
      <c r="F41" s="16">
        <v>4995</v>
      </c>
      <c r="G41" s="66">
        <v>374.625</v>
      </c>
      <c r="K41" s="19"/>
      <c r="L41" s="19"/>
      <c r="M41" s="20"/>
    </row>
    <row r="42" spans="1:56" x14ac:dyDescent="0.2">
      <c r="A42" s="64" t="s">
        <v>3</v>
      </c>
      <c r="B42" s="17">
        <v>93</v>
      </c>
      <c r="C42" s="17">
        <v>461</v>
      </c>
      <c r="D42" s="17">
        <v>1360</v>
      </c>
      <c r="E42" s="26">
        <v>578</v>
      </c>
      <c r="F42" s="16">
        <v>2492</v>
      </c>
      <c r="G42" s="66">
        <v>458.02960000000007</v>
      </c>
      <c r="K42" s="19"/>
      <c r="L42" s="19"/>
      <c r="M42" s="20"/>
    </row>
    <row r="43" spans="1:56" x14ac:dyDescent="0.2">
      <c r="A43" s="64" t="s">
        <v>13</v>
      </c>
      <c r="B43" s="21"/>
      <c r="C43" s="21"/>
      <c r="D43" s="21"/>
      <c r="E43" s="21"/>
      <c r="F43" s="16"/>
      <c r="G43" s="67">
        <v>468.21159999999998</v>
      </c>
      <c r="K43" s="19"/>
      <c r="L43" s="19"/>
      <c r="M43" s="20"/>
    </row>
    <row r="44" spans="1:56" x14ac:dyDescent="0.2">
      <c r="A44" s="19"/>
      <c r="B44" s="69"/>
      <c r="C44" s="69"/>
      <c r="D44" s="19"/>
      <c r="E44" s="19"/>
      <c r="F44" s="19"/>
      <c r="G44" s="15"/>
      <c r="J44" s="19"/>
      <c r="K44" s="19"/>
      <c r="L44" s="19"/>
      <c r="M44" s="20"/>
      <c r="Q44" s="19"/>
      <c r="R44" s="15"/>
    </row>
    <row r="45" spans="1:56" x14ac:dyDescent="0.2">
      <c r="A45" s="19" t="s">
        <v>26</v>
      </c>
      <c r="B45" s="19">
        <v>860</v>
      </c>
      <c r="C45" s="19"/>
      <c r="D45" s="19"/>
      <c r="E45" s="19"/>
      <c r="F45" s="19"/>
      <c r="G45" s="19"/>
      <c r="J45" s="19"/>
      <c r="K45" s="19"/>
      <c r="L45" s="19"/>
      <c r="M45" s="20"/>
      <c r="Q45" s="19"/>
      <c r="R45" s="19"/>
    </row>
    <row r="46" spans="1:56" x14ac:dyDescent="0.2">
      <c r="A46" s="21">
        <v>2010</v>
      </c>
      <c r="B46" s="55" t="s">
        <v>16</v>
      </c>
      <c r="C46" s="55" t="s">
        <v>23</v>
      </c>
      <c r="D46" s="56" t="s">
        <v>27</v>
      </c>
      <c r="E46" s="55" t="s">
        <v>24</v>
      </c>
      <c r="F46" s="21" t="s">
        <v>8</v>
      </c>
      <c r="G46" s="40" t="s">
        <v>12</v>
      </c>
      <c r="J46" s="19"/>
      <c r="K46" s="19"/>
      <c r="L46" s="19"/>
      <c r="M46" s="20"/>
      <c r="Q46" s="19"/>
      <c r="R46" s="19"/>
    </row>
    <row r="47" spans="1:56" x14ac:dyDescent="0.2">
      <c r="A47" s="64" t="s">
        <v>9</v>
      </c>
      <c r="B47" s="17">
        <v>542</v>
      </c>
      <c r="C47" s="17">
        <v>3776</v>
      </c>
      <c r="D47" s="17">
        <v>4260</v>
      </c>
      <c r="E47" s="17">
        <v>1190</v>
      </c>
      <c r="F47" s="16">
        <v>9768</v>
      </c>
      <c r="G47" s="65">
        <v>256.89839999999998</v>
      </c>
      <c r="J47" s="41">
        <f>F47/(F47+F48)</f>
        <v>0.80013106159895153</v>
      </c>
      <c r="K47" s="19"/>
      <c r="L47" s="19"/>
      <c r="M47" s="20"/>
      <c r="Q47" s="69"/>
      <c r="R47" s="69"/>
    </row>
    <row r="48" spans="1:56" x14ac:dyDescent="0.2">
      <c r="A48" s="64" t="s">
        <v>7</v>
      </c>
      <c r="B48" s="62"/>
      <c r="C48" s="63"/>
      <c r="D48" s="17">
        <v>2440</v>
      </c>
      <c r="E48" s="63"/>
      <c r="F48" s="16">
        <v>2440</v>
      </c>
      <c r="G48" s="65">
        <v>40.747999999999998</v>
      </c>
      <c r="J48" s="41">
        <f>F48/(F47+F48)</f>
        <v>0.1998689384010485</v>
      </c>
    </row>
    <row r="49" spans="1:10" x14ac:dyDescent="0.2">
      <c r="A49" s="64" t="s">
        <v>2</v>
      </c>
      <c r="B49" s="17">
        <v>51</v>
      </c>
      <c r="C49" s="17">
        <v>310</v>
      </c>
      <c r="D49" s="17">
        <v>583</v>
      </c>
      <c r="E49" s="17">
        <v>439</v>
      </c>
      <c r="F49" s="16">
        <v>1383</v>
      </c>
      <c r="G49" s="65">
        <v>180.48150000000001</v>
      </c>
      <c r="J49" s="19"/>
    </row>
    <row r="50" spans="1:10" x14ac:dyDescent="0.2">
      <c r="A50" s="64" t="s">
        <v>6</v>
      </c>
      <c r="B50" s="17">
        <v>11</v>
      </c>
      <c r="C50" s="17">
        <v>43</v>
      </c>
      <c r="D50" s="17">
        <v>116</v>
      </c>
      <c r="E50" s="17">
        <v>64</v>
      </c>
      <c r="F50" s="16">
        <v>234</v>
      </c>
      <c r="G50" s="66">
        <v>142.17840000000001</v>
      </c>
      <c r="J50" s="19"/>
    </row>
    <row r="51" spans="1:10" x14ac:dyDescent="0.2">
      <c r="A51" s="64" t="s">
        <v>1</v>
      </c>
      <c r="B51" s="17">
        <v>263</v>
      </c>
      <c r="C51" s="17">
        <v>1393</v>
      </c>
      <c r="D51" s="17">
        <v>2880</v>
      </c>
      <c r="E51" s="17">
        <v>1224</v>
      </c>
      <c r="F51" s="16">
        <v>5760</v>
      </c>
      <c r="G51" s="66">
        <v>432</v>
      </c>
      <c r="J51" s="19"/>
    </row>
    <row r="52" spans="1:10" x14ac:dyDescent="0.2">
      <c r="A52" s="64" t="s">
        <v>3</v>
      </c>
      <c r="B52" s="17">
        <v>68</v>
      </c>
      <c r="C52" s="17">
        <v>318</v>
      </c>
      <c r="D52" s="17">
        <v>935</v>
      </c>
      <c r="E52" s="17">
        <v>436</v>
      </c>
      <c r="F52" s="16">
        <v>1757</v>
      </c>
      <c r="G52" s="66">
        <v>322.93660000000006</v>
      </c>
      <c r="J52" s="19"/>
    </row>
    <row r="53" spans="1:10" x14ac:dyDescent="0.2">
      <c r="A53" s="64" t="s">
        <v>13</v>
      </c>
      <c r="B53" s="21"/>
      <c r="C53" s="21"/>
      <c r="D53" s="21"/>
      <c r="E53" s="21"/>
      <c r="F53" s="16"/>
      <c r="G53" s="67">
        <v>478.12789999999995</v>
      </c>
      <c r="J53" s="19"/>
    </row>
    <row r="54" spans="1:10" x14ac:dyDescent="0.2">
      <c r="A54" s="19"/>
      <c r="B54" s="19"/>
      <c r="C54" s="19"/>
      <c r="D54" s="19"/>
      <c r="E54" s="19"/>
      <c r="I54" s="19"/>
      <c r="J54" s="19"/>
    </row>
    <row r="55" spans="1:10" x14ac:dyDescent="0.2">
      <c r="A55" s="19"/>
      <c r="B55" s="19"/>
      <c r="C55" s="19"/>
      <c r="D55" s="19"/>
      <c r="E55" s="19"/>
      <c r="F55" s="19"/>
      <c r="I55" s="19"/>
      <c r="J55" s="19"/>
    </row>
    <row r="56" spans="1:10" x14ac:dyDescent="0.2">
      <c r="A56" s="19"/>
      <c r="B56" s="19"/>
      <c r="C56" s="19"/>
      <c r="D56" s="19"/>
      <c r="E56" s="19"/>
      <c r="F56" s="19"/>
      <c r="I56" s="19"/>
      <c r="J56" s="19"/>
    </row>
    <row r="57" spans="1:10" x14ac:dyDescent="0.2">
      <c r="A57" s="69" t="s">
        <v>74</v>
      </c>
      <c r="B57" s="19"/>
      <c r="C57" s="19"/>
      <c r="D57" s="19"/>
      <c r="E57" s="19"/>
      <c r="F57" s="19"/>
      <c r="I57" s="19"/>
      <c r="J57" s="19"/>
    </row>
    <row r="58" spans="1:10" x14ac:dyDescent="0.2">
      <c r="A58" s="58" t="s">
        <v>71</v>
      </c>
    </row>
    <row r="59" spans="1:10" ht="25.5" x14ac:dyDescent="0.2">
      <c r="A59" s="59" t="s">
        <v>72</v>
      </c>
    </row>
    <row r="60" spans="1:10" x14ac:dyDescent="0.2">
      <c r="A60" s="60" t="s">
        <v>73</v>
      </c>
    </row>
    <row r="61" spans="1:10" ht="25.5" x14ac:dyDescent="0.2">
      <c r="A61" s="61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showGridLines="0" workbookViewId="0">
      <selection activeCell="M21" sqref="M21"/>
    </sheetView>
  </sheetViews>
  <sheetFormatPr defaultRowHeight="12.75" x14ac:dyDescent="0.2"/>
  <cols>
    <col min="1" max="1" width="25.7109375" customWidth="1"/>
    <col min="2" max="2" width="21.42578125" bestFit="1" customWidth="1"/>
    <col min="3" max="3" width="17.5703125" bestFit="1" customWidth="1"/>
    <col min="4" max="4" width="10.85546875" customWidth="1"/>
    <col min="5" max="5" width="8.28515625" customWidth="1"/>
    <col min="6" max="6" width="12.42578125" customWidth="1"/>
    <col min="7" max="7" width="5.7109375" bestFit="1" customWidth="1"/>
    <col min="8" max="8" width="10.140625" bestFit="1" customWidth="1"/>
    <col min="11" max="12" width="13.140625" customWidth="1"/>
  </cols>
  <sheetData>
    <row r="1" spans="1:12" s="4" customFormat="1" ht="26.25" x14ac:dyDescent="0.4">
      <c r="A1" s="4" t="s">
        <v>79</v>
      </c>
    </row>
    <row r="2" spans="1:12" x14ac:dyDescent="0.2">
      <c r="A2" s="19"/>
      <c r="D2" s="19"/>
      <c r="E2" s="19"/>
      <c r="K2" s="19"/>
      <c r="L2" s="19"/>
    </row>
    <row r="3" spans="1:12" ht="15" x14ac:dyDescent="0.25">
      <c r="A3" s="50" t="s">
        <v>69</v>
      </c>
      <c r="D3" s="19"/>
      <c r="E3" s="19"/>
      <c r="K3" s="50"/>
      <c r="L3" s="50"/>
    </row>
    <row r="4" spans="1:12" s="9" customFormat="1" x14ac:dyDescent="0.2"/>
    <row r="5" spans="1:12" s="9" customFormat="1" x14ac:dyDescent="0.2">
      <c r="A5" s="10" t="s">
        <v>17</v>
      </c>
      <c r="B5" s="10">
        <v>849</v>
      </c>
      <c r="C5" s="10"/>
      <c r="H5" s="79"/>
      <c r="K5" s="10"/>
      <c r="L5" s="10"/>
    </row>
    <row r="6" spans="1:12" s="9" customFormat="1" x14ac:dyDescent="0.2">
      <c r="A6" s="12">
        <v>2020</v>
      </c>
      <c r="B6" s="57" t="s">
        <v>16</v>
      </c>
      <c r="C6" s="57" t="s">
        <v>18</v>
      </c>
      <c r="D6" s="13" t="s">
        <v>8</v>
      </c>
      <c r="E6" s="6" t="s">
        <v>12</v>
      </c>
    </row>
    <row r="7" spans="1:12" s="9" customFormat="1" x14ac:dyDescent="0.2">
      <c r="A7" s="12" t="s">
        <v>9</v>
      </c>
      <c r="B7" s="17">
        <v>0</v>
      </c>
      <c r="C7" s="16">
        <v>4126</v>
      </c>
      <c r="D7" s="16">
        <f>SUM(B7:C8)*G37</f>
        <v>4354.1111634109984</v>
      </c>
      <c r="E7" s="16">
        <f>D7*Enhedsforbrug!C7</f>
        <v>114.51312359770927</v>
      </c>
      <c r="G7" s="41"/>
    </row>
    <row r="8" spans="1:12" s="9" customFormat="1" x14ac:dyDescent="0.2">
      <c r="A8" s="12" t="s">
        <v>7</v>
      </c>
      <c r="B8" s="17">
        <v>7661</v>
      </c>
      <c r="C8" s="16">
        <v>1558</v>
      </c>
      <c r="D8" s="16">
        <f>SUM(B7:C8)*G38</f>
        <v>8990.8888365890016</v>
      </c>
      <c r="E8" s="16">
        <f>D8*Enhedsforbrug!C8</f>
        <v>150.14784357103633</v>
      </c>
      <c r="G8" s="41"/>
    </row>
    <row r="9" spans="1:12" s="9" customFormat="1" x14ac:dyDescent="0.2">
      <c r="A9" s="12" t="s">
        <v>2</v>
      </c>
      <c r="B9" s="17">
        <v>254</v>
      </c>
      <c r="C9" s="16">
        <v>748</v>
      </c>
      <c r="D9" s="16">
        <f>SUM(B9:C9)</f>
        <v>1002</v>
      </c>
      <c r="E9" s="16">
        <f>D9*Enhedsforbrug!C9</f>
        <v>130.761</v>
      </c>
    </row>
    <row r="10" spans="1:12" s="9" customFormat="1" x14ac:dyDescent="0.2">
      <c r="A10" s="12" t="s">
        <v>6</v>
      </c>
      <c r="B10" s="17">
        <v>37</v>
      </c>
      <c r="C10" s="16">
        <v>155</v>
      </c>
      <c r="D10" s="16">
        <f t="shared" ref="D10:D12" si="0">SUM(B10:C10)</f>
        <v>192</v>
      </c>
      <c r="E10" s="22">
        <f>D10*Enhedsforbrug!C10</f>
        <v>116.6592</v>
      </c>
      <c r="F10" s="89"/>
    </row>
    <row r="11" spans="1:12" s="9" customFormat="1" x14ac:dyDescent="0.2">
      <c r="A11" s="12" t="s">
        <v>1</v>
      </c>
      <c r="B11" s="17">
        <v>680</v>
      </c>
      <c r="C11" s="16">
        <v>1463</v>
      </c>
      <c r="D11" s="16">
        <f t="shared" si="0"/>
        <v>2143</v>
      </c>
      <c r="E11" s="22">
        <f>D11*Enhedsforbrug!C11</f>
        <v>160.72499999999999</v>
      </c>
      <c r="F11" s="89"/>
    </row>
    <row r="12" spans="1:12" s="9" customFormat="1" x14ac:dyDescent="0.2">
      <c r="A12" s="12" t="s">
        <v>3</v>
      </c>
      <c r="B12" s="17">
        <v>517</v>
      </c>
      <c r="C12" s="16">
        <v>1621</v>
      </c>
      <c r="D12" s="16">
        <f t="shared" si="0"/>
        <v>2138</v>
      </c>
      <c r="E12" s="22">
        <f>D12*Enhedsforbrug!C12</f>
        <v>392.96440000000007</v>
      </c>
      <c r="F12" s="89"/>
    </row>
    <row r="13" spans="1:12" s="9" customFormat="1" x14ac:dyDescent="0.2">
      <c r="A13" s="12" t="s">
        <v>13</v>
      </c>
      <c r="B13" s="23"/>
      <c r="C13" s="23"/>
      <c r="D13" s="16"/>
      <c r="E13" s="22">
        <f>SUM(E7:E9)</f>
        <v>395.4219671687456</v>
      </c>
      <c r="F13" s="89"/>
    </row>
    <row r="14" spans="1:12" s="9" customFormat="1" x14ac:dyDescent="0.2"/>
    <row r="15" spans="1:12" s="9" customFormat="1" x14ac:dyDescent="0.2">
      <c r="A15" s="10" t="s">
        <v>17</v>
      </c>
      <c r="B15" s="10">
        <v>849</v>
      </c>
      <c r="C15" s="10"/>
      <c r="H15" s="11"/>
    </row>
    <row r="16" spans="1:12" s="9" customFormat="1" x14ac:dyDescent="0.2">
      <c r="A16" s="12">
        <v>2018</v>
      </c>
      <c r="B16" s="57" t="s">
        <v>16</v>
      </c>
      <c r="C16" s="57" t="s">
        <v>18</v>
      </c>
      <c r="D16" s="13" t="s">
        <v>8</v>
      </c>
      <c r="E16" s="6" t="s">
        <v>12</v>
      </c>
      <c r="H16" s="11"/>
    </row>
    <row r="17" spans="1:8" s="9" customFormat="1" x14ac:dyDescent="0.2">
      <c r="A17" s="12" t="s">
        <v>9</v>
      </c>
      <c r="B17" s="17">
        <v>0</v>
      </c>
      <c r="C17" s="16">
        <v>4126</v>
      </c>
      <c r="D17" s="16">
        <v>4354</v>
      </c>
      <c r="E17" s="16">
        <v>114.5102</v>
      </c>
      <c r="G17" s="41"/>
      <c r="H17" s="11"/>
    </row>
    <row r="18" spans="1:8" s="9" customFormat="1" x14ac:dyDescent="0.2">
      <c r="A18" s="12" t="s">
        <v>7</v>
      </c>
      <c r="B18" s="17">
        <v>7661</v>
      </c>
      <c r="C18" s="16">
        <v>1558</v>
      </c>
      <c r="D18" s="16">
        <v>8991</v>
      </c>
      <c r="E18" s="16">
        <v>150.1497</v>
      </c>
      <c r="G18" s="41"/>
      <c r="H18" s="11"/>
    </row>
    <row r="19" spans="1:8" s="9" customFormat="1" x14ac:dyDescent="0.2">
      <c r="A19" s="12" t="s">
        <v>2</v>
      </c>
      <c r="B19" s="17">
        <v>254</v>
      </c>
      <c r="C19" s="16">
        <v>748</v>
      </c>
      <c r="D19" s="16">
        <v>1002</v>
      </c>
      <c r="E19" s="16">
        <v>130.761</v>
      </c>
      <c r="H19" s="11"/>
    </row>
    <row r="20" spans="1:8" s="9" customFormat="1" x14ac:dyDescent="0.2">
      <c r="A20" s="12" t="s">
        <v>6</v>
      </c>
      <c r="B20" s="17">
        <v>37</v>
      </c>
      <c r="C20" s="16">
        <v>155</v>
      </c>
      <c r="D20" s="16">
        <v>192</v>
      </c>
      <c r="E20" s="22">
        <v>116.6592</v>
      </c>
      <c r="H20" s="11"/>
    </row>
    <row r="21" spans="1:8" s="9" customFormat="1" x14ac:dyDescent="0.2">
      <c r="A21" s="12" t="s">
        <v>1</v>
      </c>
      <c r="B21" s="17">
        <v>680</v>
      </c>
      <c r="C21" s="16">
        <v>1463</v>
      </c>
      <c r="D21" s="16">
        <v>2143</v>
      </c>
      <c r="E21" s="22">
        <v>160.72499999999999</v>
      </c>
      <c r="H21" s="11"/>
    </row>
    <row r="22" spans="1:8" s="9" customFormat="1" x14ac:dyDescent="0.2">
      <c r="A22" s="12" t="s">
        <v>3</v>
      </c>
      <c r="B22" s="17">
        <v>517</v>
      </c>
      <c r="C22" s="16">
        <v>1621</v>
      </c>
      <c r="D22" s="16">
        <v>2138</v>
      </c>
      <c r="E22" s="22">
        <v>392.96440000000007</v>
      </c>
      <c r="H22" s="11"/>
    </row>
    <row r="23" spans="1:8" s="9" customFormat="1" x14ac:dyDescent="0.2">
      <c r="A23" s="12" t="s">
        <v>13</v>
      </c>
      <c r="B23" s="23"/>
      <c r="C23" s="23"/>
      <c r="D23" s="16"/>
      <c r="E23" s="22">
        <v>395.42089999999996</v>
      </c>
      <c r="H23" s="11"/>
    </row>
    <row r="24" spans="1:8" s="9" customFormat="1" x14ac:dyDescent="0.2">
      <c r="H24" s="11"/>
    </row>
    <row r="25" spans="1:8" s="9" customFormat="1" x14ac:dyDescent="0.2">
      <c r="A25" s="10" t="s">
        <v>17</v>
      </c>
      <c r="B25" s="10">
        <v>849</v>
      </c>
      <c r="C25" s="10"/>
      <c r="D25" s="10"/>
      <c r="E25" s="10"/>
      <c r="H25" s="11"/>
    </row>
    <row r="26" spans="1:8" s="9" customFormat="1" x14ac:dyDescent="0.2">
      <c r="A26" s="12">
        <v>2016</v>
      </c>
      <c r="B26" s="54" t="s">
        <v>16</v>
      </c>
      <c r="C26" s="57" t="s">
        <v>18</v>
      </c>
      <c r="D26" s="13" t="s">
        <v>8</v>
      </c>
      <c r="E26" s="6" t="s">
        <v>12</v>
      </c>
      <c r="H26" s="11"/>
    </row>
    <row r="27" spans="1:8" s="9" customFormat="1" x14ac:dyDescent="0.2">
      <c r="A27" s="12" t="s">
        <v>9</v>
      </c>
      <c r="B27" s="17">
        <v>0</v>
      </c>
      <c r="C27" s="16">
        <v>4126</v>
      </c>
      <c r="D27" s="16">
        <v>4354</v>
      </c>
      <c r="E27" s="16">
        <v>114.5102</v>
      </c>
      <c r="G27" s="41"/>
      <c r="H27" s="11"/>
    </row>
    <row r="28" spans="1:8" s="9" customFormat="1" x14ac:dyDescent="0.2">
      <c r="A28" s="12" t="s">
        <v>7</v>
      </c>
      <c r="B28" s="17">
        <v>7661</v>
      </c>
      <c r="C28" s="16">
        <v>1558</v>
      </c>
      <c r="D28" s="16">
        <v>8991</v>
      </c>
      <c r="E28" s="16">
        <v>150.1497</v>
      </c>
      <c r="G28" s="41"/>
      <c r="H28" s="11"/>
    </row>
    <row r="29" spans="1:8" s="9" customFormat="1" x14ac:dyDescent="0.2">
      <c r="A29" s="12" t="s">
        <v>2</v>
      </c>
      <c r="B29" s="17">
        <v>254</v>
      </c>
      <c r="C29" s="16">
        <v>748</v>
      </c>
      <c r="D29" s="16">
        <v>1002</v>
      </c>
      <c r="E29" s="16">
        <v>130.761</v>
      </c>
      <c r="H29" s="11"/>
    </row>
    <row r="30" spans="1:8" s="9" customFormat="1" x14ac:dyDescent="0.2">
      <c r="A30" s="12" t="s">
        <v>6</v>
      </c>
      <c r="B30" s="17">
        <v>37</v>
      </c>
      <c r="C30" s="16">
        <v>155</v>
      </c>
      <c r="D30" s="16">
        <v>192</v>
      </c>
      <c r="E30" s="22">
        <v>116.6592</v>
      </c>
      <c r="H30" s="11"/>
    </row>
    <row r="31" spans="1:8" s="9" customFormat="1" x14ac:dyDescent="0.2">
      <c r="A31" s="12" t="s">
        <v>1</v>
      </c>
      <c r="B31" s="17">
        <v>680</v>
      </c>
      <c r="C31" s="16">
        <v>1463</v>
      </c>
      <c r="D31" s="16">
        <v>2143</v>
      </c>
      <c r="E31" s="22">
        <v>160.72499999999999</v>
      </c>
      <c r="H31" s="11"/>
    </row>
    <row r="32" spans="1:8" s="9" customFormat="1" x14ac:dyDescent="0.2">
      <c r="A32" s="12" t="s">
        <v>3</v>
      </c>
      <c r="B32" s="17">
        <v>517</v>
      </c>
      <c r="C32" s="16">
        <v>1621</v>
      </c>
      <c r="D32" s="16">
        <v>2138</v>
      </c>
      <c r="E32" s="22">
        <v>392.96440000000007</v>
      </c>
      <c r="H32" s="11"/>
    </row>
    <row r="33" spans="1:12" s="9" customFormat="1" x14ac:dyDescent="0.2">
      <c r="A33" s="12" t="s">
        <v>13</v>
      </c>
      <c r="B33" s="23"/>
      <c r="C33" s="23"/>
      <c r="D33" s="16"/>
      <c r="E33" s="22">
        <v>395.42089999999996</v>
      </c>
      <c r="H33" s="11"/>
    </row>
    <row r="34" spans="1:12" s="9" customFormat="1" x14ac:dyDescent="0.2">
      <c r="B34" s="18"/>
      <c r="C34" s="15"/>
      <c r="D34" s="18"/>
      <c r="E34" s="18"/>
      <c r="H34" s="11"/>
    </row>
    <row r="35" spans="1:12" s="9" customFormat="1" x14ac:dyDescent="0.2">
      <c r="A35" s="10" t="s">
        <v>17</v>
      </c>
      <c r="B35" s="15">
        <v>849</v>
      </c>
      <c r="C35" s="15"/>
      <c r="D35" s="15"/>
      <c r="E35" s="15"/>
      <c r="H35" s="11"/>
    </row>
    <row r="36" spans="1:12" s="9" customFormat="1" x14ac:dyDescent="0.2">
      <c r="A36" s="12">
        <v>2010</v>
      </c>
      <c r="B36" s="55" t="s">
        <v>16</v>
      </c>
      <c r="C36" s="56" t="s">
        <v>18</v>
      </c>
      <c r="D36" s="23" t="s">
        <v>8</v>
      </c>
      <c r="E36" s="24" t="s">
        <v>12</v>
      </c>
      <c r="H36" s="11"/>
    </row>
    <row r="37" spans="1:12" s="9" customFormat="1" x14ac:dyDescent="0.2">
      <c r="A37" s="12" t="s">
        <v>9</v>
      </c>
      <c r="B37" s="17"/>
      <c r="C37" s="17">
        <v>4159</v>
      </c>
      <c r="D37" s="16">
        <v>4159</v>
      </c>
      <c r="E37" s="16">
        <v>109.3817</v>
      </c>
      <c r="G37" s="41">
        <f>D37/(D37+D38)</f>
        <v>0.32627284851337568</v>
      </c>
      <c r="H37" s="11"/>
      <c r="K37" s="69"/>
      <c r="L37" s="69"/>
    </row>
    <row r="38" spans="1:12" s="9" customFormat="1" x14ac:dyDescent="0.2">
      <c r="A38" s="12" t="s">
        <v>7</v>
      </c>
      <c r="B38" s="18">
        <v>7018</v>
      </c>
      <c r="C38" s="17">
        <v>1570</v>
      </c>
      <c r="D38" s="16">
        <v>8588</v>
      </c>
      <c r="E38" s="16">
        <v>143.4196</v>
      </c>
      <c r="G38" s="41">
        <f>D38/(D37+D38)</f>
        <v>0.67372715148662432</v>
      </c>
      <c r="H38" s="11"/>
    </row>
    <row r="39" spans="1:12" s="9" customFormat="1" x14ac:dyDescent="0.2">
      <c r="A39" s="12" t="s">
        <v>2</v>
      </c>
      <c r="B39" s="17">
        <v>422</v>
      </c>
      <c r="C39" s="17">
        <v>881</v>
      </c>
      <c r="D39" s="16">
        <v>1303</v>
      </c>
      <c r="E39" s="16">
        <v>170.04150000000001</v>
      </c>
    </row>
    <row r="40" spans="1:12" s="9" customFormat="1" x14ac:dyDescent="0.2">
      <c r="A40" s="12" t="s">
        <v>6</v>
      </c>
      <c r="B40" s="17">
        <v>55</v>
      </c>
      <c r="C40" s="17">
        <v>162</v>
      </c>
      <c r="D40" s="16">
        <v>217</v>
      </c>
      <c r="E40" s="22">
        <v>131.8492</v>
      </c>
    </row>
    <row r="41" spans="1:12" s="9" customFormat="1" x14ac:dyDescent="0.2">
      <c r="A41" s="12" t="s">
        <v>1</v>
      </c>
      <c r="B41" s="17">
        <v>1267</v>
      </c>
      <c r="C41" s="17">
        <v>1978</v>
      </c>
      <c r="D41" s="16">
        <v>3245</v>
      </c>
      <c r="E41" s="22">
        <v>243.375</v>
      </c>
    </row>
    <row r="42" spans="1:12" s="9" customFormat="1" x14ac:dyDescent="0.2">
      <c r="A42" s="12" t="s">
        <v>3</v>
      </c>
      <c r="B42" s="17">
        <v>339</v>
      </c>
      <c r="C42" s="17">
        <v>928</v>
      </c>
      <c r="D42" s="16">
        <v>1267</v>
      </c>
      <c r="E42" s="22">
        <v>232.87460000000002</v>
      </c>
    </row>
    <row r="43" spans="1:12" s="9" customFormat="1" x14ac:dyDescent="0.2">
      <c r="A43" s="12" t="s">
        <v>13</v>
      </c>
      <c r="B43" s="23"/>
      <c r="C43" s="23"/>
      <c r="D43" s="16"/>
      <c r="E43" s="22">
        <v>422.84280000000001</v>
      </c>
    </row>
    <row r="44" spans="1:12" s="9" customFormat="1" x14ac:dyDescent="0.2">
      <c r="D44" s="10"/>
      <c r="E44" s="10"/>
    </row>
    <row r="45" spans="1:12" s="9" customFormat="1" x14ac:dyDescent="0.2"/>
    <row r="46" spans="1:12" s="9" customFormat="1" x14ac:dyDescent="0.2"/>
    <row r="47" spans="1:12" s="9" customFormat="1" x14ac:dyDescent="0.2">
      <c r="A47" s="69" t="s">
        <v>74</v>
      </c>
    </row>
    <row r="48" spans="1:12" s="9" customFormat="1" x14ac:dyDescent="0.2">
      <c r="A48" s="58" t="s">
        <v>71</v>
      </c>
    </row>
    <row r="49" spans="1:1" s="9" customFormat="1" ht="25.5" x14ac:dyDescent="0.2">
      <c r="A49" s="59" t="s">
        <v>72</v>
      </c>
    </row>
    <row r="50" spans="1:1" s="9" customFormat="1" x14ac:dyDescent="0.2">
      <c r="A50" s="60" t="s">
        <v>73</v>
      </c>
    </row>
    <row r="51" spans="1:1" s="9" customFormat="1" ht="25.5" x14ac:dyDescent="0.2">
      <c r="A51" s="61" t="s">
        <v>82</v>
      </c>
    </row>
    <row r="52" spans="1:1" s="9" customFormat="1" x14ac:dyDescent="0.2"/>
  </sheetData>
  <sortState xmlns:xlrd2="http://schemas.microsoft.com/office/spreadsheetml/2017/richdata2" ref="A23:E28">
    <sortCondition ref="A23:A28"/>
  </sortState>
  <phoneticPr fontId="4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00FFF-FCB0-47DD-A431-A2A3C8024F6B}">
  <dimension ref="A1:H51"/>
  <sheetViews>
    <sheetView showGridLines="0" workbookViewId="0">
      <selection activeCell="M21" sqref="M21"/>
    </sheetView>
  </sheetViews>
  <sheetFormatPr defaultRowHeight="12.75" x14ac:dyDescent="0.2"/>
  <cols>
    <col min="1" max="2" width="25.7109375" customWidth="1"/>
    <col min="3" max="4" width="13.140625" customWidth="1"/>
  </cols>
  <sheetData>
    <row r="1" spans="1:8" s="38" customFormat="1" ht="26.25" x14ac:dyDescent="0.4">
      <c r="A1" s="38" t="s">
        <v>79</v>
      </c>
    </row>
    <row r="2" spans="1:8" x14ac:dyDescent="0.2">
      <c r="A2" s="19"/>
      <c r="B2" s="19"/>
      <c r="C2" s="19"/>
      <c r="D2" s="19"/>
      <c r="E2" s="19"/>
    </row>
    <row r="3" spans="1:8" ht="15" x14ac:dyDescent="0.25">
      <c r="A3" s="50" t="s">
        <v>69</v>
      </c>
      <c r="B3" s="19"/>
      <c r="C3" s="50"/>
      <c r="D3" s="50"/>
      <c r="E3" s="19"/>
    </row>
    <row r="5" spans="1:8" x14ac:dyDescent="0.2">
      <c r="A5" s="37" t="s">
        <v>28</v>
      </c>
      <c r="B5" s="37">
        <v>825</v>
      </c>
      <c r="C5" s="37"/>
      <c r="D5" s="37"/>
      <c r="H5" s="79"/>
    </row>
    <row r="6" spans="1:8" x14ac:dyDescent="0.2">
      <c r="A6" s="70">
        <v>2020</v>
      </c>
      <c r="B6" s="54" t="s">
        <v>29</v>
      </c>
      <c r="C6" s="78" t="s">
        <v>8</v>
      </c>
      <c r="D6" s="40" t="s">
        <v>12</v>
      </c>
    </row>
    <row r="7" spans="1:8" x14ac:dyDescent="0.2">
      <c r="A7" s="70" t="s">
        <v>9</v>
      </c>
      <c r="B7" s="16">
        <v>1421</v>
      </c>
      <c r="C7" s="16">
        <f>B7*F27</f>
        <v>792.0980392156863</v>
      </c>
      <c r="D7" s="16">
        <f>C7*Enhedsforbrug!C7</f>
        <v>20.832178431372551</v>
      </c>
    </row>
    <row r="8" spans="1:8" x14ac:dyDescent="0.2">
      <c r="A8" s="70" t="s">
        <v>7</v>
      </c>
      <c r="B8" s="16">
        <v>0</v>
      </c>
      <c r="C8" s="16">
        <f>B7*F28</f>
        <v>628.9019607843137</v>
      </c>
      <c r="D8" s="16">
        <f>C8*Enhedsforbrug!C8</f>
        <v>10.502662745098039</v>
      </c>
    </row>
    <row r="9" spans="1:8" x14ac:dyDescent="0.2">
      <c r="A9" s="70" t="s">
        <v>2</v>
      </c>
      <c r="B9" s="16">
        <v>141</v>
      </c>
      <c r="C9" s="81">
        <f>B9</f>
        <v>141</v>
      </c>
      <c r="D9" s="16">
        <f>C9*Enhedsforbrug!C9</f>
        <v>18.400500000000001</v>
      </c>
    </row>
    <row r="10" spans="1:8" x14ac:dyDescent="0.2">
      <c r="A10" s="70" t="s">
        <v>6</v>
      </c>
      <c r="B10" s="16">
        <v>15</v>
      </c>
      <c r="C10" s="81">
        <f t="shared" ref="C10:C12" si="0">B10</f>
        <v>15</v>
      </c>
      <c r="D10" s="22">
        <f>C10*Enhedsforbrug!C10</f>
        <v>9.1140000000000008</v>
      </c>
      <c r="E10" s="84"/>
      <c r="F10" s="88"/>
    </row>
    <row r="11" spans="1:8" x14ac:dyDescent="0.2">
      <c r="A11" s="70" t="s">
        <v>1</v>
      </c>
      <c r="B11" s="16">
        <v>393</v>
      </c>
      <c r="C11" s="81">
        <f t="shared" si="0"/>
        <v>393</v>
      </c>
      <c r="D11" s="22">
        <f>C11*Enhedsforbrug!C11</f>
        <v>29.474999999999998</v>
      </c>
      <c r="E11" s="84"/>
      <c r="F11" s="88"/>
    </row>
    <row r="12" spans="1:8" x14ac:dyDescent="0.2">
      <c r="A12" s="70" t="s">
        <v>3</v>
      </c>
      <c r="B12" s="16">
        <v>97</v>
      </c>
      <c r="C12" s="81">
        <f t="shared" si="0"/>
        <v>97</v>
      </c>
      <c r="D12" s="22">
        <f>C12*Enhedsforbrug!C12</f>
        <v>17.828600000000002</v>
      </c>
      <c r="E12" s="84"/>
      <c r="F12" s="88"/>
    </row>
    <row r="13" spans="1:8" x14ac:dyDescent="0.2">
      <c r="A13" s="70" t="s">
        <v>13</v>
      </c>
      <c r="B13" s="25"/>
      <c r="C13" s="70"/>
      <c r="D13" s="83">
        <f>SUM(D7:D9)</f>
        <v>49.735341176470591</v>
      </c>
      <c r="E13" s="84"/>
      <c r="F13" s="88"/>
    </row>
    <row r="15" spans="1:8" x14ac:dyDescent="0.2">
      <c r="A15" s="37" t="s">
        <v>28</v>
      </c>
      <c r="B15" s="37">
        <v>825</v>
      </c>
      <c r="C15" s="37"/>
      <c r="D15" s="37"/>
    </row>
    <row r="16" spans="1:8" x14ac:dyDescent="0.2">
      <c r="A16" s="70">
        <v>2018</v>
      </c>
      <c r="B16" s="57" t="s">
        <v>29</v>
      </c>
      <c r="C16" s="25" t="s">
        <v>8</v>
      </c>
      <c r="D16" s="40" t="s">
        <v>12</v>
      </c>
    </row>
    <row r="17" spans="1:6" x14ac:dyDescent="0.2">
      <c r="A17" s="70" t="s">
        <v>9</v>
      </c>
      <c r="B17" s="16">
        <v>597</v>
      </c>
      <c r="C17" s="16">
        <v>597</v>
      </c>
      <c r="D17" s="71">
        <v>15.7011</v>
      </c>
      <c r="F17" s="41"/>
    </row>
    <row r="18" spans="1:6" x14ac:dyDescent="0.2">
      <c r="A18" s="70" t="s">
        <v>7</v>
      </c>
      <c r="B18" s="16">
        <v>474</v>
      </c>
      <c r="C18" s="16">
        <v>474</v>
      </c>
      <c r="D18" s="71">
        <v>7.9157999999999999</v>
      </c>
      <c r="F18" s="41"/>
    </row>
    <row r="19" spans="1:6" x14ac:dyDescent="0.2">
      <c r="A19" s="70" t="s">
        <v>2</v>
      </c>
      <c r="B19" s="16">
        <v>45</v>
      </c>
      <c r="C19" s="70">
        <v>45</v>
      </c>
      <c r="D19" s="71">
        <v>5.8725000000000005</v>
      </c>
    </row>
    <row r="20" spans="1:6" x14ac:dyDescent="0.2">
      <c r="A20" s="70" t="s">
        <v>6</v>
      </c>
      <c r="B20" s="16">
        <v>2</v>
      </c>
      <c r="C20" s="70">
        <v>2</v>
      </c>
      <c r="D20" s="66">
        <v>1.2152000000000001</v>
      </c>
    </row>
    <row r="21" spans="1:6" x14ac:dyDescent="0.2">
      <c r="A21" s="70" t="s">
        <v>1</v>
      </c>
      <c r="B21" s="16">
        <v>330</v>
      </c>
      <c r="C21" s="70">
        <v>330</v>
      </c>
      <c r="D21" s="66">
        <v>24.75</v>
      </c>
    </row>
    <row r="22" spans="1:6" x14ac:dyDescent="0.2">
      <c r="A22" s="70" t="s">
        <v>3</v>
      </c>
      <c r="B22" s="16">
        <v>31</v>
      </c>
      <c r="C22" s="70">
        <v>31</v>
      </c>
      <c r="D22" s="66">
        <v>5.6978000000000009</v>
      </c>
    </row>
    <row r="23" spans="1:6" x14ac:dyDescent="0.2">
      <c r="A23" s="70" t="s">
        <v>13</v>
      </c>
      <c r="B23" s="25"/>
      <c r="C23" s="70"/>
      <c r="D23" s="67">
        <v>29.489400000000003</v>
      </c>
    </row>
    <row r="25" spans="1:6" x14ac:dyDescent="0.2">
      <c r="A25" s="37" t="s">
        <v>28</v>
      </c>
      <c r="B25" s="37">
        <v>825</v>
      </c>
      <c r="C25" s="37"/>
      <c r="D25" s="37"/>
    </row>
    <row r="26" spans="1:6" x14ac:dyDescent="0.2">
      <c r="A26" s="70">
        <v>2016</v>
      </c>
      <c r="B26" s="56" t="s">
        <v>29</v>
      </c>
      <c r="C26" s="25" t="s">
        <v>8</v>
      </c>
      <c r="D26" s="40" t="s">
        <v>12</v>
      </c>
    </row>
    <row r="27" spans="1:6" x14ac:dyDescent="0.2">
      <c r="A27" s="70" t="s">
        <v>9</v>
      </c>
      <c r="B27" s="16">
        <v>597</v>
      </c>
      <c r="C27" s="16">
        <v>597</v>
      </c>
      <c r="D27" s="71">
        <v>15.7011</v>
      </c>
      <c r="F27" s="41">
        <f>C27/(C27+C28)</f>
        <v>0.55742296918767509</v>
      </c>
    </row>
    <row r="28" spans="1:6" x14ac:dyDescent="0.2">
      <c r="A28" s="70" t="s">
        <v>7</v>
      </c>
      <c r="B28" s="16">
        <v>474</v>
      </c>
      <c r="C28" s="16">
        <v>474</v>
      </c>
      <c r="D28" s="71">
        <v>7.9157999999999999</v>
      </c>
      <c r="F28" s="41">
        <f>C28/(C27+C28)</f>
        <v>0.44257703081232491</v>
      </c>
    </row>
    <row r="29" spans="1:6" x14ac:dyDescent="0.2">
      <c r="A29" s="70" t="s">
        <v>2</v>
      </c>
      <c r="B29" s="16">
        <v>45</v>
      </c>
      <c r="C29" s="70">
        <v>45</v>
      </c>
      <c r="D29" s="71">
        <v>5.8725000000000005</v>
      </c>
    </row>
    <row r="30" spans="1:6" x14ac:dyDescent="0.2">
      <c r="A30" s="70" t="s">
        <v>6</v>
      </c>
      <c r="B30" s="16">
        <v>2</v>
      </c>
      <c r="C30" s="70">
        <v>2</v>
      </c>
      <c r="D30" s="66">
        <v>1.2152000000000001</v>
      </c>
    </row>
    <row r="31" spans="1:6" x14ac:dyDescent="0.2">
      <c r="A31" s="70" t="s">
        <v>1</v>
      </c>
      <c r="B31" s="16">
        <v>330</v>
      </c>
      <c r="C31" s="70">
        <v>330</v>
      </c>
      <c r="D31" s="66">
        <v>24.75</v>
      </c>
    </row>
    <row r="32" spans="1:6" x14ac:dyDescent="0.2">
      <c r="A32" s="70" t="s">
        <v>3</v>
      </c>
      <c r="B32" s="16">
        <v>31</v>
      </c>
      <c r="C32" s="70">
        <v>31</v>
      </c>
      <c r="D32" s="66">
        <v>5.6978000000000009</v>
      </c>
    </row>
    <row r="33" spans="1:6" x14ac:dyDescent="0.2">
      <c r="A33" s="70" t="s">
        <v>13</v>
      </c>
      <c r="B33" s="25"/>
      <c r="C33" s="70"/>
      <c r="D33" s="67">
        <v>29.489400000000003</v>
      </c>
    </row>
    <row r="34" spans="1:6" x14ac:dyDescent="0.2">
      <c r="A34" s="37"/>
      <c r="B34" s="37"/>
      <c r="C34" s="37"/>
      <c r="D34" s="37"/>
    </row>
    <row r="35" spans="1:6" x14ac:dyDescent="0.2">
      <c r="A35" s="37" t="s">
        <v>28</v>
      </c>
      <c r="B35" s="37">
        <v>825</v>
      </c>
      <c r="C35" s="37"/>
      <c r="D35" s="37"/>
    </row>
    <row r="36" spans="1:6" x14ac:dyDescent="0.2">
      <c r="A36" s="70">
        <v>2010</v>
      </c>
      <c r="B36" s="57" t="s">
        <v>29</v>
      </c>
      <c r="C36" s="25" t="s">
        <v>8</v>
      </c>
      <c r="D36" s="40" t="s">
        <v>12</v>
      </c>
    </row>
    <row r="37" spans="1:6" x14ac:dyDescent="0.2">
      <c r="A37" s="70" t="s">
        <v>9</v>
      </c>
      <c r="B37" s="72">
        <v>602</v>
      </c>
      <c r="C37" s="71">
        <v>602</v>
      </c>
      <c r="D37" s="71">
        <v>15.832600000000001</v>
      </c>
      <c r="F37" s="41"/>
    </row>
    <row r="38" spans="1:6" x14ac:dyDescent="0.2">
      <c r="A38" s="70" t="s">
        <v>7</v>
      </c>
      <c r="B38" s="37">
        <v>478</v>
      </c>
      <c r="C38" s="71">
        <v>478</v>
      </c>
      <c r="D38" s="71">
        <v>7.9825999999999997</v>
      </c>
      <c r="F38" s="41"/>
    </row>
    <row r="39" spans="1:6" x14ac:dyDescent="0.2">
      <c r="A39" s="70" t="s">
        <v>2</v>
      </c>
      <c r="B39" s="72">
        <v>53</v>
      </c>
      <c r="C39" s="70">
        <v>53</v>
      </c>
      <c r="D39" s="71">
        <v>6.9165000000000001</v>
      </c>
    </row>
    <row r="40" spans="1:6" x14ac:dyDescent="0.2">
      <c r="A40" s="70" t="s">
        <v>6</v>
      </c>
      <c r="B40" s="72">
        <v>2</v>
      </c>
      <c r="C40" s="70">
        <v>2</v>
      </c>
      <c r="D40" s="66">
        <v>1.2152000000000001</v>
      </c>
    </row>
    <row r="41" spans="1:6" x14ac:dyDescent="0.2">
      <c r="A41" s="70" t="s">
        <v>1</v>
      </c>
      <c r="B41" s="72">
        <v>446</v>
      </c>
      <c r="C41" s="70">
        <v>446</v>
      </c>
      <c r="D41" s="66">
        <v>33.449999999999996</v>
      </c>
    </row>
    <row r="42" spans="1:6" x14ac:dyDescent="0.2">
      <c r="A42" s="70" t="s">
        <v>3</v>
      </c>
      <c r="B42" s="72">
        <v>18</v>
      </c>
      <c r="C42" s="70">
        <v>18</v>
      </c>
      <c r="D42" s="66">
        <v>3.3084000000000002</v>
      </c>
    </row>
    <row r="43" spans="1:6" x14ac:dyDescent="0.2">
      <c r="A43" s="70" t="s">
        <v>13</v>
      </c>
      <c r="B43" s="25"/>
      <c r="C43" s="70"/>
      <c r="D43" s="67">
        <v>30.7317</v>
      </c>
    </row>
    <row r="45" spans="1:6" x14ac:dyDescent="0.2">
      <c r="A45" s="44"/>
      <c r="C45" s="44"/>
      <c r="D45" s="44"/>
    </row>
    <row r="47" spans="1:6" x14ac:dyDescent="0.2">
      <c r="A47" s="69" t="s">
        <v>74</v>
      </c>
      <c r="C47" s="69"/>
      <c r="D47" s="69"/>
    </row>
    <row r="48" spans="1:6" x14ac:dyDescent="0.2">
      <c r="A48" s="58" t="s">
        <v>71</v>
      </c>
    </row>
    <row r="49" spans="1:1" ht="25.5" x14ac:dyDescent="0.2">
      <c r="A49" s="59" t="s">
        <v>72</v>
      </c>
    </row>
    <row r="50" spans="1:1" x14ac:dyDescent="0.2">
      <c r="A50" s="60" t="s">
        <v>73</v>
      </c>
    </row>
    <row r="51" spans="1:1" ht="25.5" x14ac:dyDescent="0.2">
      <c r="A51" s="61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32E5B-FC58-47A6-966C-F1F6EE45B194}">
  <dimension ref="A1:H51"/>
  <sheetViews>
    <sheetView showGridLines="0" workbookViewId="0">
      <selection activeCell="B11" sqref="B11:C11"/>
    </sheetView>
  </sheetViews>
  <sheetFormatPr defaultRowHeight="12.75" x14ac:dyDescent="0.2"/>
  <cols>
    <col min="1" max="1" width="25.7109375" customWidth="1"/>
    <col min="2" max="2" width="18.140625" customWidth="1"/>
    <col min="3" max="3" width="17.85546875" customWidth="1"/>
    <col min="4" max="4" width="25.7109375" customWidth="1"/>
    <col min="5" max="6" width="13.140625" customWidth="1"/>
  </cols>
  <sheetData>
    <row r="1" spans="1:8" s="4" customFormat="1" ht="26.25" x14ac:dyDescent="0.4">
      <c r="A1" s="4" t="s">
        <v>79</v>
      </c>
    </row>
    <row r="2" spans="1:8" x14ac:dyDescent="0.2">
      <c r="A2" s="19"/>
      <c r="D2" s="19"/>
      <c r="E2" s="19"/>
      <c r="F2" s="19"/>
    </row>
    <row r="3" spans="1:8" ht="15" x14ac:dyDescent="0.25">
      <c r="A3" s="50" t="s">
        <v>69</v>
      </c>
      <c r="D3" s="19"/>
      <c r="E3" s="50"/>
      <c r="F3" s="50"/>
    </row>
    <row r="5" spans="1:8" x14ac:dyDescent="0.2">
      <c r="A5" s="44" t="s">
        <v>51</v>
      </c>
      <c r="B5" s="44">
        <v>846</v>
      </c>
      <c r="C5" s="44"/>
      <c r="D5" s="44"/>
      <c r="E5" s="44"/>
      <c r="F5" s="44"/>
      <c r="H5" s="79"/>
    </row>
    <row r="6" spans="1:8" x14ac:dyDescent="0.2">
      <c r="A6" s="46">
        <v>2020</v>
      </c>
      <c r="B6" s="54" t="s">
        <v>52</v>
      </c>
      <c r="C6" s="54" t="s">
        <v>53</v>
      </c>
      <c r="D6" s="57" t="s">
        <v>54</v>
      </c>
      <c r="E6" s="2" t="s">
        <v>8</v>
      </c>
      <c r="F6" s="6" t="s">
        <v>12</v>
      </c>
    </row>
    <row r="7" spans="1:8" x14ac:dyDescent="0.2">
      <c r="A7" s="46" t="s">
        <v>9</v>
      </c>
      <c r="B7" s="26">
        <v>2741</v>
      </c>
      <c r="C7" s="26">
        <v>561</v>
      </c>
      <c r="D7" s="26">
        <v>1647.9978384220481</v>
      </c>
      <c r="E7" s="16">
        <f t="shared" ref="E7:E12" si="0">SUM(B7:D7)</f>
        <v>4949.9978384220485</v>
      </c>
      <c r="F7" s="14">
        <f>E7*Enhedsforbrug!$C$7</f>
        <v>130.18494315049989</v>
      </c>
    </row>
    <row r="8" spans="1:8" x14ac:dyDescent="0.2">
      <c r="A8" s="46" t="s">
        <v>7</v>
      </c>
      <c r="B8" s="49">
        <v>0</v>
      </c>
      <c r="C8" s="49">
        <v>49</v>
      </c>
      <c r="D8" s="26">
        <v>2062.0021615779519</v>
      </c>
      <c r="E8" s="16">
        <f t="shared" si="0"/>
        <v>2111.0021615779519</v>
      </c>
      <c r="F8" s="14">
        <f>E8*Enhedsforbrug!$C$8</f>
        <v>35.253736098351794</v>
      </c>
    </row>
    <row r="9" spans="1:8" x14ac:dyDescent="0.2">
      <c r="A9" s="46" t="s">
        <v>2</v>
      </c>
      <c r="B9" s="26">
        <v>362</v>
      </c>
      <c r="C9" s="26">
        <v>155</v>
      </c>
      <c r="D9" s="26">
        <v>235</v>
      </c>
      <c r="E9" s="35">
        <f t="shared" si="0"/>
        <v>752</v>
      </c>
      <c r="F9" s="14">
        <f>E9*Enhedsforbrug!$C$9</f>
        <v>98.13600000000001</v>
      </c>
    </row>
    <row r="10" spans="1:8" x14ac:dyDescent="0.2">
      <c r="A10" s="46" t="s">
        <v>6</v>
      </c>
      <c r="B10" s="26">
        <v>72</v>
      </c>
      <c r="C10" s="26">
        <v>29</v>
      </c>
      <c r="D10" s="26">
        <v>46</v>
      </c>
      <c r="E10" s="35">
        <f t="shared" si="0"/>
        <v>147</v>
      </c>
      <c r="F10" s="7">
        <f>E10*Enhedsforbrug!$C$10</f>
        <v>89.3172</v>
      </c>
    </row>
    <row r="11" spans="1:8" x14ac:dyDescent="0.2">
      <c r="A11" s="46" t="s">
        <v>1</v>
      </c>
      <c r="B11" s="26">
        <v>784</v>
      </c>
      <c r="C11" s="26">
        <f>220+2</f>
        <v>222</v>
      </c>
      <c r="D11" s="26">
        <v>318</v>
      </c>
      <c r="E11" s="35">
        <f t="shared" si="0"/>
        <v>1324</v>
      </c>
      <c r="F11" s="7">
        <f>E11*Enhedsforbrug!$C$11</f>
        <v>99.3</v>
      </c>
    </row>
    <row r="12" spans="1:8" x14ac:dyDescent="0.2">
      <c r="A12" s="46" t="s">
        <v>3</v>
      </c>
      <c r="B12" s="26">
        <v>1289</v>
      </c>
      <c r="C12" s="26">
        <f>344+2</f>
        <v>346</v>
      </c>
      <c r="D12" s="26">
        <v>351</v>
      </c>
      <c r="E12" s="35">
        <f t="shared" si="0"/>
        <v>1986</v>
      </c>
      <c r="F12" s="7">
        <f>E12*Enhedsforbrug!$C$12</f>
        <v>365.02680000000004</v>
      </c>
    </row>
    <row r="13" spans="1:8" x14ac:dyDescent="0.2">
      <c r="A13" s="46" t="s">
        <v>13</v>
      </c>
      <c r="B13" s="28"/>
      <c r="C13" s="28"/>
      <c r="D13" s="28"/>
      <c r="E13" s="35"/>
      <c r="F13" s="7">
        <f>SUM(F7:F9)</f>
        <v>263.57467924885168</v>
      </c>
    </row>
    <row r="15" spans="1:8" x14ac:dyDescent="0.2">
      <c r="A15" s="44" t="s">
        <v>51</v>
      </c>
      <c r="B15" s="44">
        <v>846</v>
      </c>
      <c r="C15" s="44"/>
      <c r="D15" s="44"/>
      <c r="E15" s="44"/>
      <c r="F15" s="44"/>
    </row>
    <row r="16" spans="1:8" x14ac:dyDescent="0.2">
      <c r="A16" s="46">
        <v>2018</v>
      </c>
      <c r="B16" s="54" t="s">
        <v>52</v>
      </c>
      <c r="C16" s="54" t="s">
        <v>53</v>
      </c>
      <c r="D16" s="57" t="s">
        <v>54</v>
      </c>
      <c r="E16" s="2" t="s">
        <v>8</v>
      </c>
      <c r="F16" s="6" t="s">
        <v>12</v>
      </c>
    </row>
    <row r="17" spans="1:8" x14ac:dyDescent="0.2">
      <c r="A17" s="46" t="s">
        <v>9</v>
      </c>
      <c r="B17" s="26">
        <v>2840</v>
      </c>
      <c r="C17" s="26">
        <v>49</v>
      </c>
      <c r="D17" s="26">
        <v>1647.9978384220481</v>
      </c>
      <c r="E17" s="16">
        <f>MROUND(SUM($B$17:$D$18)*H27,1)</f>
        <v>4744</v>
      </c>
      <c r="F17" s="14">
        <f>E17*Enhedsforbrug!$C$7</f>
        <v>124.7672</v>
      </c>
      <c r="H17" s="41">
        <f>E17/SUM($B$27:$D$28)</f>
        <v>0.65925514174541411</v>
      </c>
    </row>
    <row r="18" spans="1:8" x14ac:dyDescent="0.2">
      <c r="A18" s="46" t="s">
        <v>7</v>
      </c>
      <c r="B18" s="49"/>
      <c r="C18" s="49">
        <v>0</v>
      </c>
      <c r="D18" s="26">
        <v>2062.0021615779519</v>
      </c>
      <c r="E18" s="16">
        <f>SUM($B$17:$D$18)-E17</f>
        <v>1855</v>
      </c>
      <c r="F18" s="14">
        <f>E18*Enhedsforbrug!$C$8</f>
        <v>30.9785</v>
      </c>
      <c r="H18" s="41">
        <f>E18/SUM($B$27:$D$28)</f>
        <v>0.25778210116731515</v>
      </c>
    </row>
    <row r="19" spans="1:8" x14ac:dyDescent="0.2">
      <c r="A19" s="46" t="s">
        <v>2</v>
      </c>
      <c r="B19" s="26">
        <v>412</v>
      </c>
      <c r="C19" s="26">
        <v>0</v>
      </c>
      <c r="D19" s="26">
        <v>235</v>
      </c>
      <c r="E19" s="35">
        <f>SUM(B19:D19)</f>
        <v>647</v>
      </c>
      <c r="F19" s="14">
        <f>E19*Enhedsforbrug!$C$9</f>
        <v>84.433500000000009</v>
      </c>
    </row>
    <row r="20" spans="1:8" x14ac:dyDescent="0.2">
      <c r="A20" s="46" t="s">
        <v>6</v>
      </c>
      <c r="B20" s="26">
        <v>78</v>
      </c>
      <c r="C20" s="26">
        <v>0</v>
      </c>
      <c r="D20" s="26">
        <v>46</v>
      </c>
      <c r="E20" s="35">
        <f>SUM(B20:D20)</f>
        <v>124</v>
      </c>
      <c r="F20" s="7">
        <f>E20*Enhedsforbrug!$C$10</f>
        <v>75.342399999999998</v>
      </c>
    </row>
    <row r="21" spans="1:8" x14ac:dyDescent="0.2">
      <c r="A21" s="46" t="s">
        <v>1</v>
      </c>
      <c r="B21" s="26">
        <v>904</v>
      </c>
      <c r="C21" s="26">
        <v>2</v>
      </c>
      <c r="D21" s="26">
        <v>318</v>
      </c>
      <c r="E21" s="35">
        <f>SUM(B21:D21)</f>
        <v>1224</v>
      </c>
      <c r="F21" s="7">
        <f>E21*Enhedsforbrug!$C$11</f>
        <v>91.8</v>
      </c>
    </row>
    <row r="22" spans="1:8" x14ac:dyDescent="0.2">
      <c r="A22" s="46" t="s">
        <v>3</v>
      </c>
      <c r="B22" s="26">
        <v>1319</v>
      </c>
      <c r="C22" s="26">
        <v>2</v>
      </c>
      <c r="D22" s="26">
        <v>351</v>
      </c>
      <c r="E22" s="35">
        <f>SUM(B22:D22)</f>
        <v>1672</v>
      </c>
      <c r="F22" s="7">
        <f>E22*Enhedsforbrug!$C$12</f>
        <v>307.31360000000001</v>
      </c>
    </row>
    <row r="23" spans="1:8" x14ac:dyDescent="0.2">
      <c r="A23" s="46" t="s">
        <v>13</v>
      </c>
      <c r="B23" s="28"/>
      <c r="C23" s="28"/>
      <c r="D23" s="28"/>
      <c r="E23" s="35"/>
      <c r="F23" s="8">
        <f>SUM(F17:F19)</f>
        <v>240.17920000000001</v>
      </c>
    </row>
    <row r="25" spans="1:8" x14ac:dyDescent="0.2">
      <c r="A25" s="44" t="s">
        <v>51</v>
      </c>
      <c r="B25" s="44">
        <v>846</v>
      </c>
      <c r="C25" s="44"/>
      <c r="D25" s="44"/>
      <c r="E25" s="44"/>
      <c r="F25" s="44"/>
    </row>
    <row r="26" spans="1:8" x14ac:dyDescent="0.2">
      <c r="A26" s="46">
        <v>2016</v>
      </c>
      <c r="B26" s="54" t="s">
        <v>52</v>
      </c>
      <c r="C26" s="54" t="s">
        <v>53</v>
      </c>
      <c r="D26" s="54" t="s">
        <v>54</v>
      </c>
      <c r="E26" s="2" t="s">
        <v>8</v>
      </c>
      <c r="F26" s="6" t="s">
        <v>12</v>
      </c>
    </row>
    <row r="27" spans="1:8" x14ac:dyDescent="0.2">
      <c r="A27" s="46" t="s">
        <v>9</v>
      </c>
      <c r="B27" s="26">
        <v>2874</v>
      </c>
      <c r="C27" s="26">
        <v>612</v>
      </c>
      <c r="D27" s="26">
        <f>3710*(D37/($D$37+$D$38))</f>
        <v>1647.9978384220481</v>
      </c>
      <c r="E27" s="16">
        <f>MROUND(SUM($B$27:$D$28)*H37,1)</f>
        <v>5173</v>
      </c>
      <c r="F27" s="14">
        <v>136.04990000000001</v>
      </c>
      <c r="H27" s="41">
        <f>E27/SUM($B$27:$D$28)</f>
        <v>0.7188715953307393</v>
      </c>
    </row>
    <row r="28" spans="1:8" x14ac:dyDescent="0.2">
      <c r="A28" s="46" t="s">
        <v>7</v>
      </c>
      <c r="B28" s="49"/>
      <c r="C28" s="49"/>
      <c r="D28" s="26">
        <f>3710*(D38/($D$37+$D$38))</f>
        <v>2062.0021615779519</v>
      </c>
      <c r="E28" s="16">
        <f>SUM($B$27:$D$28)-E27</f>
        <v>2023</v>
      </c>
      <c r="F28" s="14">
        <v>33.784100000000002</v>
      </c>
      <c r="H28" s="41">
        <f>E28/SUM($B$27:$D$28)</f>
        <v>0.2811284046692607</v>
      </c>
    </row>
    <row r="29" spans="1:8" x14ac:dyDescent="0.2">
      <c r="A29" s="46" t="s">
        <v>2</v>
      </c>
      <c r="B29" s="26">
        <v>512</v>
      </c>
      <c r="C29" s="26">
        <v>193</v>
      </c>
      <c r="D29" s="26">
        <v>235</v>
      </c>
      <c r="E29" s="35">
        <f>SUM(B29:D29)</f>
        <v>940</v>
      </c>
      <c r="F29" s="14">
        <v>122.67</v>
      </c>
    </row>
    <row r="30" spans="1:8" x14ac:dyDescent="0.2">
      <c r="A30" s="46" t="s">
        <v>6</v>
      </c>
      <c r="B30" s="26">
        <v>92</v>
      </c>
      <c r="C30" s="26">
        <v>32</v>
      </c>
      <c r="D30" s="26">
        <v>46</v>
      </c>
      <c r="E30" s="35">
        <f>SUM(B30:D30)</f>
        <v>170</v>
      </c>
      <c r="F30" s="7">
        <v>103.292</v>
      </c>
    </row>
    <row r="31" spans="1:8" x14ac:dyDescent="0.2">
      <c r="A31" s="46" t="s">
        <v>1</v>
      </c>
      <c r="B31" s="26">
        <v>987</v>
      </c>
      <c r="C31" s="26">
        <v>257</v>
      </c>
      <c r="D31" s="26">
        <v>318</v>
      </c>
      <c r="E31" s="35">
        <f>SUM(B31:D31)</f>
        <v>1562</v>
      </c>
      <c r="F31" s="7">
        <v>117.14999999999999</v>
      </c>
    </row>
    <row r="32" spans="1:8" x14ac:dyDescent="0.2">
      <c r="A32" s="46" t="s">
        <v>3</v>
      </c>
      <c r="B32" s="26">
        <v>1307</v>
      </c>
      <c r="C32" s="26">
        <v>339</v>
      </c>
      <c r="D32" s="26">
        <v>351</v>
      </c>
      <c r="E32" s="35">
        <f>SUM(B32:D32)</f>
        <v>1997</v>
      </c>
      <c r="F32" s="7">
        <v>367.04860000000002</v>
      </c>
    </row>
    <row r="33" spans="1:8" x14ac:dyDescent="0.2">
      <c r="A33" s="46" t="s">
        <v>13</v>
      </c>
      <c r="B33" s="28"/>
      <c r="C33" s="28"/>
      <c r="D33" s="28"/>
      <c r="E33" s="35"/>
      <c r="F33" s="8">
        <f>SUM(F27:F29)</f>
        <v>292.50400000000002</v>
      </c>
    </row>
    <row r="34" spans="1:8" x14ac:dyDescent="0.2">
      <c r="B34" s="36"/>
      <c r="C34" s="36"/>
      <c r="D34" s="36"/>
      <c r="E34" s="36"/>
      <c r="F34" s="36"/>
    </row>
    <row r="35" spans="1:8" x14ac:dyDescent="0.2">
      <c r="A35" s="44" t="s">
        <v>51</v>
      </c>
      <c r="B35" s="27">
        <v>846</v>
      </c>
      <c r="C35" s="27"/>
      <c r="D35" s="27"/>
      <c r="E35" s="27"/>
      <c r="F35" s="27"/>
    </row>
    <row r="36" spans="1:8" ht="25.5" x14ac:dyDescent="0.2">
      <c r="A36" s="46">
        <v>2010</v>
      </c>
      <c r="B36" s="55" t="s">
        <v>52</v>
      </c>
      <c r="C36" s="55" t="s">
        <v>53</v>
      </c>
      <c r="D36" s="55" t="s">
        <v>54</v>
      </c>
      <c r="E36" s="28" t="s">
        <v>8</v>
      </c>
      <c r="F36" s="24" t="s">
        <v>12</v>
      </c>
    </row>
    <row r="37" spans="1:8" x14ac:dyDescent="0.2">
      <c r="A37" s="46" t="s">
        <v>9</v>
      </c>
      <c r="B37" s="26">
        <f>2402+6+22+15+293+20+210</f>
        <v>2968</v>
      </c>
      <c r="C37" s="26">
        <f>588+2+3+3+36+1+15</f>
        <v>648</v>
      </c>
      <c r="D37" s="26">
        <f>(3397+93+2+4+26+179)-D38</f>
        <v>1644</v>
      </c>
      <c r="E37" s="35">
        <f t="shared" ref="E37:E42" si="1">SUM(B37:D37)</f>
        <v>5260</v>
      </c>
      <c r="F37" s="14">
        <v>138.33799999999999</v>
      </c>
      <c r="H37" s="41">
        <f>E37/SUM($E$37:$E$38)</f>
        <v>0.71887385540522075</v>
      </c>
    </row>
    <row r="38" spans="1:8" x14ac:dyDescent="0.2">
      <c r="A38" s="46" t="s">
        <v>7</v>
      </c>
      <c r="B38" s="52"/>
      <c r="C38" s="52"/>
      <c r="D38" s="26">
        <f>900+1157</f>
        <v>2057</v>
      </c>
      <c r="E38" s="35">
        <f t="shared" si="1"/>
        <v>2057</v>
      </c>
      <c r="F38" s="14">
        <v>34.351900000000001</v>
      </c>
      <c r="H38" s="41">
        <f>E38/SUM($E$37:$E$38)</f>
        <v>0.2811261445947793</v>
      </c>
    </row>
    <row r="39" spans="1:8" x14ac:dyDescent="0.2">
      <c r="A39" s="46" t="s">
        <v>2</v>
      </c>
      <c r="B39" s="26">
        <f>415+44+22+331+4+20</f>
        <v>836</v>
      </c>
      <c r="C39" s="26">
        <f>204+1+3+49+1</f>
        <v>258</v>
      </c>
      <c r="D39" s="26">
        <f>297+44+2+40</f>
        <v>383</v>
      </c>
      <c r="E39" s="35">
        <f t="shared" si="1"/>
        <v>1477</v>
      </c>
      <c r="F39" s="14">
        <v>192.74850000000001</v>
      </c>
    </row>
    <row r="40" spans="1:8" x14ac:dyDescent="0.2">
      <c r="A40" s="46" t="s">
        <v>6</v>
      </c>
      <c r="B40" s="26">
        <f>87+1+14+6</f>
        <v>108</v>
      </c>
      <c r="C40" s="26">
        <v>37</v>
      </c>
      <c r="D40" s="26">
        <f>57+3</f>
        <v>60</v>
      </c>
      <c r="E40" s="35">
        <f t="shared" si="1"/>
        <v>205</v>
      </c>
      <c r="F40" s="7">
        <v>124.55800000000001</v>
      </c>
    </row>
    <row r="41" spans="1:8" x14ac:dyDescent="0.2">
      <c r="A41" s="46" t="s">
        <v>1</v>
      </c>
      <c r="B41" s="26">
        <f>1329+23+293</f>
        <v>1645</v>
      </c>
      <c r="C41" s="26">
        <f>425+1+36</f>
        <v>462</v>
      </c>
      <c r="D41" s="26">
        <f>704+22+26</f>
        <v>752</v>
      </c>
      <c r="E41" s="35">
        <f t="shared" si="1"/>
        <v>2859</v>
      </c>
      <c r="F41" s="7">
        <v>214.42499999999998</v>
      </c>
    </row>
    <row r="42" spans="1:8" x14ac:dyDescent="0.2">
      <c r="A42" s="46" t="s">
        <v>3</v>
      </c>
      <c r="B42" s="26">
        <f>2+79+759</f>
        <v>840</v>
      </c>
      <c r="C42" s="26">
        <f>1+228</f>
        <v>229</v>
      </c>
      <c r="D42" s="26">
        <f>3+1+214</f>
        <v>218</v>
      </c>
      <c r="E42" s="35">
        <f t="shared" si="1"/>
        <v>1287</v>
      </c>
      <c r="F42" s="7">
        <v>236.55060000000003</v>
      </c>
    </row>
    <row r="43" spans="1:8" x14ac:dyDescent="0.2">
      <c r="A43" s="46" t="s">
        <v>13</v>
      </c>
      <c r="B43" s="28"/>
      <c r="C43" s="28"/>
      <c r="D43" s="28"/>
      <c r="E43" s="35"/>
      <c r="F43" s="8">
        <f>SUM(F37:F39)</f>
        <v>365.4384</v>
      </c>
    </row>
    <row r="44" spans="1:8" x14ac:dyDescent="0.2">
      <c r="D44" s="44"/>
    </row>
    <row r="47" spans="1:8" x14ac:dyDescent="0.2">
      <c r="A47" s="69" t="s">
        <v>74</v>
      </c>
      <c r="E47" s="69"/>
      <c r="F47" s="69"/>
    </row>
    <row r="48" spans="1:8" x14ac:dyDescent="0.2">
      <c r="A48" s="58" t="s">
        <v>71</v>
      </c>
    </row>
    <row r="49" spans="1:1" ht="25.5" x14ac:dyDescent="0.2">
      <c r="A49" s="59" t="s">
        <v>72</v>
      </c>
    </row>
    <row r="50" spans="1:1" x14ac:dyDescent="0.2">
      <c r="A50" s="60" t="s">
        <v>73</v>
      </c>
    </row>
    <row r="51" spans="1:1" ht="25.5" x14ac:dyDescent="0.2">
      <c r="A51" s="61" t="s">
        <v>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ADF32-2262-4F37-B82E-D1AD2CDBC0D3}">
  <dimension ref="A1:H51"/>
  <sheetViews>
    <sheetView showGridLines="0" workbookViewId="0">
      <selection activeCell="E21" sqref="E21"/>
    </sheetView>
  </sheetViews>
  <sheetFormatPr defaultRowHeight="12.75" x14ac:dyDescent="0.2"/>
  <cols>
    <col min="1" max="3" width="25.7109375" customWidth="1"/>
    <col min="4" max="5" width="13.28515625" customWidth="1"/>
  </cols>
  <sheetData>
    <row r="1" spans="1:8" s="38" customFormat="1" ht="26.25" x14ac:dyDescent="0.4">
      <c r="A1" s="38" t="s">
        <v>79</v>
      </c>
    </row>
    <row r="2" spans="1:8" x14ac:dyDescent="0.2">
      <c r="A2" s="19"/>
      <c r="B2" s="19"/>
      <c r="C2" s="19"/>
      <c r="D2" s="19"/>
      <c r="E2" s="19"/>
    </row>
    <row r="3" spans="1:8" ht="15" x14ac:dyDescent="0.25">
      <c r="A3" s="50" t="s">
        <v>69</v>
      </c>
      <c r="B3" s="19"/>
      <c r="C3" s="19"/>
      <c r="D3" s="50"/>
      <c r="E3" s="50"/>
    </row>
    <row r="5" spans="1:8" x14ac:dyDescent="0.2">
      <c r="A5" s="37" t="s">
        <v>30</v>
      </c>
      <c r="B5" s="37">
        <v>773</v>
      </c>
      <c r="C5" s="37"/>
      <c r="D5" s="37"/>
      <c r="E5" s="37"/>
      <c r="H5" s="79"/>
    </row>
    <row r="6" spans="1:8" x14ac:dyDescent="0.2">
      <c r="A6" s="70">
        <v>2020</v>
      </c>
      <c r="B6" s="57" t="s">
        <v>31</v>
      </c>
      <c r="C6" s="54" t="s">
        <v>32</v>
      </c>
      <c r="D6" s="25" t="s">
        <v>8</v>
      </c>
      <c r="E6" s="40" t="s">
        <v>12</v>
      </c>
    </row>
    <row r="7" spans="1:8" x14ac:dyDescent="0.2">
      <c r="A7" s="70" t="s">
        <v>9</v>
      </c>
      <c r="B7" s="26">
        <v>1733</v>
      </c>
      <c r="C7" s="16">
        <v>1216</v>
      </c>
      <c r="D7" s="16">
        <f>MROUND(SUM($B$7:$C$8)*G37,1)</f>
        <v>3161</v>
      </c>
      <c r="E7" s="35">
        <f>D7*Enhedsforbrug!$C$7</f>
        <v>83.134299999999996</v>
      </c>
    </row>
    <row r="8" spans="1:8" x14ac:dyDescent="0.2">
      <c r="A8" s="70" t="s">
        <v>7</v>
      </c>
      <c r="B8" s="26">
        <v>138</v>
      </c>
      <c r="C8" s="16">
        <v>208</v>
      </c>
      <c r="D8" s="16">
        <f>MROUND(SUM($B$7:$C$8)*G38,1)</f>
        <v>134</v>
      </c>
      <c r="E8" s="35">
        <f>D8*Enhedsforbrug!$C$8</f>
        <v>2.2378</v>
      </c>
    </row>
    <row r="9" spans="1:8" x14ac:dyDescent="0.2">
      <c r="A9" s="70" t="s">
        <v>2</v>
      </c>
      <c r="B9" s="26">
        <v>154</v>
      </c>
      <c r="C9" s="35">
        <f>184+1</f>
        <v>185</v>
      </c>
      <c r="D9" s="35">
        <f>SUM(B9:C9)</f>
        <v>339</v>
      </c>
      <c r="E9" s="35">
        <f>D9*Enhedsforbrug!$C$9</f>
        <v>44.2395</v>
      </c>
    </row>
    <row r="10" spans="1:8" x14ac:dyDescent="0.2">
      <c r="A10" s="70" t="s">
        <v>6</v>
      </c>
      <c r="B10" s="26">
        <v>99</v>
      </c>
      <c r="C10" s="35">
        <v>69</v>
      </c>
      <c r="D10" s="35">
        <f t="shared" ref="D10:D12" si="0">SUM(B10:C10)</f>
        <v>168</v>
      </c>
      <c r="E10" s="22">
        <f>D10*Enhedsforbrug!$C$10</f>
        <v>102.07680000000001</v>
      </c>
      <c r="F10" s="88"/>
    </row>
    <row r="11" spans="1:8" x14ac:dyDescent="0.2">
      <c r="A11" s="70" t="s">
        <v>1</v>
      </c>
      <c r="B11" s="26">
        <v>912</v>
      </c>
      <c r="C11" s="35">
        <f>545+9</f>
        <v>554</v>
      </c>
      <c r="D11" s="35">
        <f t="shared" si="0"/>
        <v>1466</v>
      </c>
      <c r="E11" s="22">
        <f>D11*Enhedsforbrug!$C$11</f>
        <v>109.95</v>
      </c>
      <c r="F11" s="88"/>
    </row>
    <row r="12" spans="1:8" x14ac:dyDescent="0.2">
      <c r="A12" s="70" t="s">
        <v>3</v>
      </c>
      <c r="B12" s="26">
        <v>798</v>
      </c>
      <c r="C12" s="35">
        <f>809+1</f>
        <v>810</v>
      </c>
      <c r="D12" s="35">
        <f t="shared" si="0"/>
        <v>1608</v>
      </c>
      <c r="E12" s="22">
        <f>D12*Enhedsforbrug!$C$12</f>
        <v>295.55040000000002</v>
      </c>
      <c r="F12" s="88"/>
    </row>
    <row r="13" spans="1:8" x14ac:dyDescent="0.2">
      <c r="A13" s="70" t="s">
        <v>13</v>
      </c>
      <c r="B13" s="28"/>
      <c r="C13" s="35"/>
      <c r="D13" s="35"/>
      <c r="E13" s="22">
        <f>SUM(E7:E9)</f>
        <v>129.61159999999998</v>
      </c>
      <c r="F13" s="88"/>
    </row>
    <row r="15" spans="1:8" x14ac:dyDescent="0.2">
      <c r="A15" s="37" t="s">
        <v>30</v>
      </c>
      <c r="B15" s="37">
        <v>773</v>
      </c>
      <c r="C15" s="37"/>
      <c r="D15" s="37"/>
      <c r="E15" s="37"/>
    </row>
    <row r="16" spans="1:8" x14ac:dyDescent="0.2">
      <c r="A16" s="70">
        <v>2018</v>
      </c>
      <c r="B16" s="57" t="s">
        <v>31</v>
      </c>
      <c r="C16" s="54" t="s">
        <v>32</v>
      </c>
      <c r="D16" s="25" t="s">
        <v>8</v>
      </c>
      <c r="E16" s="40" t="s">
        <v>12</v>
      </c>
    </row>
    <row r="17" spans="1:7" x14ac:dyDescent="0.2">
      <c r="A17" s="70" t="s">
        <v>9</v>
      </c>
      <c r="B17" s="26">
        <v>1733</v>
      </c>
      <c r="C17" s="16">
        <v>1430</v>
      </c>
      <c r="D17" s="16">
        <v>3166</v>
      </c>
      <c r="E17" s="35">
        <v>83.265799999999999</v>
      </c>
      <c r="G17" s="41"/>
    </row>
    <row r="18" spans="1:7" x14ac:dyDescent="0.2">
      <c r="A18" s="70" t="s">
        <v>7</v>
      </c>
      <c r="B18" s="26">
        <v>138</v>
      </c>
      <c r="C18" s="16"/>
      <c r="D18" s="16">
        <v>135</v>
      </c>
      <c r="E18" s="35">
        <v>2.2544999999999997</v>
      </c>
      <c r="G18" s="41"/>
    </row>
    <row r="19" spans="1:7" x14ac:dyDescent="0.2">
      <c r="A19" s="70" t="s">
        <v>2</v>
      </c>
      <c r="B19" s="26">
        <v>154</v>
      </c>
      <c r="C19" s="35">
        <v>211</v>
      </c>
      <c r="D19" s="35">
        <v>365</v>
      </c>
      <c r="E19" s="35">
        <v>47.6325</v>
      </c>
    </row>
    <row r="20" spans="1:7" x14ac:dyDescent="0.2">
      <c r="A20" s="70" t="s">
        <v>6</v>
      </c>
      <c r="B20" s="26">
        <v>99</v>
      </c>
      <c r="C20" s="35">
        <v>76</v>
      </c>
      <c r="D20" s="35">
        <v>175</v>
      </c>
      <c r="E20" s="22">
        <v>106.33</v>
      </c>
    </row>
    <row r="21" spans="1:7" x14ac:dyDescent="0.2">
      <c r="A21" s="70" t="s">
        <v>1</v>
      </c>
      <c r="B21" s="26">
        <v>912</v>
      </c>
      <c r="C21" s="35">
        <v>608</v>
      </c>
      <c r="D21" s="35">
        <v>1520</v>
      </c>
      <c r="E21" s="22">
        <v>114</v>
      </c>
    </row>
    <row r="22" spans="1:7" x14ac:dyDescent="0.2">
      <c r="A22" s="70" t="s">
        <v>3</v>
      </c>
      <c r="B22" s="26">
        <v>798</v>
      </c>
      <c r="C22" s="35">
        <v>827</v>
      </c>
      <c r="D22" s="35">
        <v>1625</v>
      </c>
      <c r="E22" s="22">
        <v>298.67500000000001</v>
      </c>
    </row>
    <row r="23" spans="1:7" x14ac:dyDescent="0.2">
      <c r="A23" s="70" t="s">
        <v>13</v>
      </c>
      <c r="B23" s="28"/>
      <c r="C23" s="35"/>
      <c r="D23" s="35"/>
      <c r="E23" s="22">
        <v>133.15279999999998</v>
      </c>
    </row>
    <row r="25" spans="1:7" x14ac:dyDescent="0.2">
      <c r="A25" s="37" t="s">
        <v>30</v>
      </c>
      <c r="B25" s="37">
        <v>773</v>
      </c>
      <c r="C25" s="37"/>
      <c r="D25" s="37"/>
      <c r="E25" s="37"/>
    </row>
    <row r="26" spans="1:7" x14ac:dyDescent="0.2">
      <c r="A26" s="70">
        <v>2016</v>
      </c>
      <c r="B26" s="57" t="s">
        <v>31</v>
      </c>
      <c r="C26" s="54" t="s">
        <v>32</v>
      </c>
      <c r="D26" s="25" t="s">
        <v>8</v>
      </c>
      <c r="E26" s="40" t="s">
        <v>12</v>
      </c>
    </row>
    <row r="27" spans="1:7" x14ac:dyDescent="0.2">
      <c r="A27" s="70" t="s">
        <v>9</v>
      </c>
      <c r="B27" s="26">
        <v>1733</v>
      </c>
      <c r="C27" s="16">
        <v>1405</v>
      </c>
      <c r="D27" s="16">
        <v>3142</v>
      </c>
      <c r="E27" s="35">
        <v>82.634600000000006</v>
      </c>
      <c r="G27" s="41"/>
    </row>
    <row r="28" spans="1:7" x14ac:dyDescent="0.2">
      <c r="A28" s="70" t="s">
        <v>7</v>
      </c>
      <c r="B28" s="26">
        <v>138</v>
      </c>
      <c r="C28" s="16">
        <v>0</v>
      </c>
      <c r="D28" s="16">
        <v>134</v>
      </c>
      <c r="E28" s="35">
        <v>2.2378</v>
      </c>
      <c r="G28" s="41"/>
    </row>
    <row r="29" spans="1:7" x14ac:dyDescent="0.2">
      <c r="A29" s="70" t="s">
        <v>2</v>
      </c>
      <c r="B29" s="26">
        <v>154</v>
      </c>
      <c r="C29" s="35">
        <v>200</v>
      </c>
      <c r="D29" s="35">
        <v>354</v>
      </c>
      <c r="E29" s="35">
        <v>46.197000000000003</v>
      </c>
    </row>
    <row r="30" spans="1:7" x14ac:dyDescent="0.2">
      <c r="A30" s="70" t="s">
        <v>6</v>
      </c>
      <c r="B30" s="26">
        <v>99</v>
      </c>
      <c r="C30" s="35">
        <v>78</v>
      </c>
      <c r="D30" s="35">
        <v>177</v>
      </c>
      <c r="E30" s="22">
        <v>107.54520000000001</v>
      </c>
    </row>
    <row r="31" spans="1:7" x14ac:dyDescent="0.2">
      <c r="A31" s="70" t="s">
        <v>1</v>
      </c>
      <c r="B31" s="26">
        <v>912</v>
      </c>
      <c r="C31" s="35">
        <v>678</v>
      </c>
      <c r="D31" s="35">
        <v>1590</v>
      </c>
      <c r="E31" s="22">
        <v>119.25</v>
      </c>
    </row>
    <row r="32" spans="1:7" x14ac:dyDescent="0.2">
      <c r="A32" s="70" t="s">
        <v>3</v>
      </c>
      <c r="B32" s="26">
        <v>798</v>
      </c>
      <c r="C32" s="35">
        <v>814</v>
      </c>
      <c r="D32" s="35">
        <v>1612</v>
      </c>
      <c r="E32" s="22">
        <v>296.28560000000004</v>
      </c>
    </row>
    <row r="33" spans="1:7" x14ac:dyDescent="0.2">
      <c r="A33" s="70" t="s">
        <v>13</v>
      </c>
      <c r="B33" s="28"/>
      <c r="C33" s="35"/>
      <c r="D33" s="35"/>
      <c r="E33" s="22">
        <v>131.0694</v>
      </c>
    </row>
    <row r="34" spans="1:7" x14ac:dyDescent="0.2">
      <c r="A34" s="37"/>
      <c r="B34" s="27"/>
      <c r="C34" s="27"/>
      <c r="D34" s="27"/>
      <c r="E34" s="27"/>
    </row>
    <row r="35" spans="1:7" x14ac:dyDescent="0.2">
      <c r="A35" s="37" t="s">
        <v>30</v>
      </c>
      <c r="B35" s="27">
        <v>773</v>
      </c>
      <c r="C35" s="27"/>
      <c r="D35" s="27"/>
      <c r="E35" s="27"/>
    </row>
    <row r="36" spans="1:7" x14ac:dyDescent="0.2">
      <c r="A36" s="70">
        <v>2010</v>
      </c>
      <c r="B36" s="56" t="s">
        <v>33</v>
      </c>
      <c r="C36" s="56" t="s">
        <v>32</v>
      </c>
      <c r="D36" s="28" t="s">
        <v>8</v>
      </c>
      <c r="E36" s="24" t="s">
        <v>12</v>
      </c>
    </row>
    <row r="37" spans="1:7" x14ac:dyDescent="0.2">
      <c r="A37" s="70" t="s">
        <v>9</v>
      </c>
      <c r="B37" s="26">
        <v>1747</v>
      </c>
      <c r="C37" s="26">
        <v>1522</v>
      </c>
      <c r="D37" s="35">
        <v>3269</v>
      </c>
      <c r="E37" s="35">
        <v>85.974699999999999</v>
      </c>
      <c r="G37" s="41">
        <f>D37/SUM($D$37:$D$38)</f>
        <v>0.95921361502347413</v>
      </c>
    </row>
    <row r="38" spans="1:7" x14ac:dyDescent="0.2">
      <c r="A38" s="70" t="s">
        <v>7</v>
      </c>
      <c r="B38" s="27">
        <v>139</v>
      </c>
      <c r="C38" s="26"/>
      <c r="D38" s="35">
        <v>139</v>
      </c>
      <c r="E38" s="35">
        <v>2.3212999999999999</v>
      </c>
      <c r="G38" s="41">
        <f>D38/SUM($D$37:$D$38)</f>
        <v>4.078638497652582E-2</v>
      </c>
    </row>
    <row r="39" spans="1:7" x14ac:dyDescent="0.2">
      <c r="A39" s="70" t="s">
        <v>2</v>
      </c>
      <c r="B39" s="26">
        <v>182</v>
      </c>
      <c r="C39" s="26">
        <v>205</v>
      </c>
      <c r="D39" s="35">
        <v>387</v>
      </c>
      <c r="E39" s="35">
        <v>50.503500000000003</v>
      </c>
    </row>
    <row r="40" spans="1:7" x14ac:dyDescent="0.2">
      <c r="A40" s="70" t="s">
        <v>6</v>
      </c>
      <c r="B40" s="26">
        <v>104</v>
      </c>
      <c r="C40" s="26">
        <v>141</v>
      </c>
      <c r="D40" s="35">
        <v>245</v>
      </c>
      <c r="E40" s="22">
        <v>148.86199999999999</v>
      </c>
    </row>
    <row r="41" spans="1:7" x14ac:dyDescent="0.2">
      <c r="A41" s="70" t="s">
        <v>1</v>
      </c>
      <c r="B41" s="26">
        <v>1233</v>
      </c>
      <c r="C41" s="26">
        <v>1054</v>
      </c>
      <c r="D41" s="35">
        <v>2287</v>
      </c>
      <c r="E41" s="22">
        <v>171.52500000000001</v>
      </c>
    </row>
    <row r="42" spans="1:7" x14ac:dyDescent="0.2">
      <c r="A42" s="70" t="s">
        <v>3</v>
      </c>
      <c r="B42" s="26">
        <v>457</v>
      </c>
      <c r="C42" s="26">
        <v>502</v>
      </c>
      <c r="D42" s="35">
        <v>959</v>
      </c>
      <c r="E42" s="22">
        <v>176.26420000000002</v>
      </c>
    </row>
    <row r="43" spans="1:7" x14ac:dyDescent="0.2">
      <c r="A43" s="70" t="s">
        <v>13</v>
      </c>
      <c r="B43" s="28"/>
      <c r="C43" s="28"/>
      <c r="D43" s="35"/>
      <c r="E43" s="22">
        <v>138.79949999999999</v>
      </c>
    </row>
    <row r="44" spans="1:7" x14ac:dyDescent="0.2">
      <c r="B44" s="44"/>
      <c r="C44" s="44"/>
    </row>
    <row r="47" spans="1:7" x14ac:dyDescent="0.2">
      <c r="A47" s="69" t="s">
        <v>74</v>
      </c>
      <c r="D47" s="69"/>
      <c r="E47" s="69"/>
    </row>
    <row r="48" spans="1:7" x14ac:dyDescent="0.2">
      <c r="A48" s="58" t="s">
        <v>71</v>
      </c>
    </row>
    <row r="49" spans="1:1" ht="25.5" x14ac:dyDescent="0.2">
      <c r="A49" s="59" t="s">
        <v>72</v>
      </c>
    </row>
    <row r="50" spans="1:1" x14ac:dyDescent="0.2">
      <c r="A50" s="60" t="s">
        <v>73</v>
      </c>
    </row>
    <row r="51" spans="1:1" ht="25.5" x14ac:dyDescent="0.2">
      <c r="A51" s="61" t="s">
        <v>82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4314B-890D-43B9-A737-20042265E0AA}">
  <dimension ref="A1:H61"/>
  <sheetViews>
    <sheetView showGridLines="0" workbookViewId="0">
      <selection activeCell="K26" sqref="K26"/>
    </sheetView>
  </sheetViews>
  <sheetFormatPr defaultRowHeight="12.75" x14ac:dyDescent="0.2"/>
  <cols>
    <col min="1" max="3" width="25.7109375" customWidth="1"/>
    <col min="4" max="5" width="13.140625" customWidth="1"/>
  </cols>
  <sheetData>
    <row r="1" spans="1:8" s="38" customFormat="1" ht="26.25" x14ac:dyDescent="0.4">
      <c r="A1" s="38" t="s">
        <v>80</v>
      </c>
    </row>
    <row r="2" spans="1:8" x14ac:dyDescent="0.2">
      <c r="A2" s="19"/>
      <c r="B2" s="19"/>
      <c r="C2" s="19"/>
      <c r="D2" s="19"/>
      <c r="E2" s="19"/>
    </row>
    <row r="3" spans="1:8" ht="15" x14ac:dyDescent="0.25">
      <c r="A3" s="50" t="s">
        <v>69</v>
      </c>
      <c r="B3" s="19"/>
      <c r="C3" s="19"/>
      <c r="D3" s="50"/>
      <c r="E3" s="50"/>
    </row>
    <row r="5" spans="1:8" x14ac:dyDescent="0.2">
      <c r="A5" s="37" t="s">
        <v>34</v>
      </c>
      <c r="B5" s="37">
        <v>840</v>
      </c>
      <c r="C5" s="37"/>
      <c r="D5" s="37"/>
      <c r="E5" s="37"/>
      <c r="H5" s="79"/>
    </row>
    <row r="6" spans="1:8" x14ac:dyDescent="0.2">
      <c r="A6" s="70">
        <v>2018</v>
      </c>
      <c r="B6" s="54" t="s">
        <v>35</v>
      </c>
      <c r="C6" s="54" t="s">
        <v>36</v>
      </c>
      <c r="D6" s="25" t="s">
        <v>8</v>
      </c>
      <c r="E6" s="40" t="s">
        <v>12</v>
      </c>
    </row>
    <row r="7" spans="1:8" x14ac:dyDescent="0.2">
      <c r="A7" s="70" t="s">
        <v>9</v>
      </c>
      <c r="B7" s="26">
        <v>1976</v>
      </c>
      <c r="C7" s="26">
        <v>2121</v>
      </c>
      <c r="D7" s="16">
        <f>SUM(B7:C7)</f>
        <v>4097</v>
      </c>
      <c r="E7" s="35">
        <f>D7*Enhedsforbrug!$C$7</f>
        <v>107.75110000000001</v>
      </c>
    </row>
    <row r="8" spans="1:8" x14ac:dyDescent="0.2">
      <c r="A8" s="70" t="s">
        <v>7</v>
      </c>
      <c r="B8" s="27">
        <v>0</v>
      </c>
      <c r="C8" s="26">
        <v>0</v>
      </c>
      <c r="D8" s="16">
        <f t="shared" ref="D8:D12" si="0">SUM(B8:C8)</f>
        <v>0</v>
      </c>
      <c r="E8" s="35">
        <f>D8*Enhedsforbrug!$C$8</f>
        <v>0</v>
      </c>
    </row>
    <row r="9" spans="1:8" x14ac:dyDescent="0.2">
      <c r="A9" s="70" t="s">
        <v>2</v>
      </c>
      <c r="B9" s="26">
        <v>265</v>
      </c>
      <c r="C9" s="26">
        <v>378</v>
      </c>
      <c r="D9" s="16">
        <f t="shared" si="0"/>
        <v>643</v>
      </c>
      <c r="E9" s="35">
        <f>D9*Enhedsforbrug!$C$9</f>
        <v>83.911500000000004</v>
      </c>
    </row>
    <row r="10" spans="1:8" x14ac:dyDescent="0.2">
      <c r="A10" s="70" t="s">
        <v>6</v>
      </c>
      <c r="B10" s="26">
        <v>77</v>
      </c>
      <c r="C10" s="26">
        <v>63</v>
      </c>
      <c r="D10" s="16">
        <f t="shared" si="0"/>
        <v>140</v>
      </c>
      <c r="E10" s="22">
        <f>D10*Enhedsforbrug!$C$10</f>
        <v>85.064000000000007</v>
      </c>
      <c r="F10" s="88"/>
    </row>
    <row r="11" spans="1:8" x14ac:dyDescent="0.2">
      <c r="A11" s="70" t="s">
        <v>1</v>
      </c>
      <c r="B11" s="26">
        <v>492</v>
      </c>
      <c r="C11" s="26">
        <v>502</v>
      </c>
      <c r="D11" s="16">
        <f t="shared" si="0"/>
        <v>994</v>
      </c>
      <c r="E11" s="22">
        <f>D11*Enhedsforbrug!$C$11</f>
        <v>74.55</v>
      </c>
      <c r="F11" s="88"/>
    </row>
    <row r="12" spans="1:8" x14ac:dyDescent="0.2">
      <c r="A12" s="70" t="s">
        <v>3</v>
      </c>
      <c r="B12" s="26">
        <v>803</v>
      </c>
      <c r="C12" s="26">
        <v>659</v>
      </c>
      <c r="D12" s="16">
        <f t="shared" si="0"/>
        <v>1462</v>
      </c>
      <c r="E12" s="22">
        <f>D12*Enhedsforbrug!$C$12</f>
        <v>268.71560000000005</v>
      </c>
      <c r="F12" s="88"/>
    </row>
    <row r="13" spans="1:8" x14ac:dyDescent="0.2">
      <c r="A13" s="70" t="s">
        <v>13</v>
      </c>
      <c r="B13" s="28"/>
      <c r="C13" s="28"/>
      <c r="D13" s="16"/>
      <c r="E13" s="22">
        <f>SUM(E7:E9)</f>
        <v>191.6626</v>
      </c>
      <c r="F13" s="88"/>
    </row>
    <row r="15" spans="1:8" x14ac:dyDescent="0.2">
      <c r="A15" s="37" t="s">
        <v>34</v>
      </c>
      <c r="B15" s="37">
        <v>840</v>
      </c>
      <c r="C15" s="37"/>
      <c r="D15" s="37"/>
      <c r="E15" s="37"/>
    </row>
    <row r="16" spans="1:8" x14ac:dyDescent="0.2">
      <c r="A16" s="70">
        <v>2018</v>
      </c>
      <c r="B16" s="54" t="s">
        <v>35</v>
      </c>
      <c r="C16" s="54" t="s">
        <v>36</v>
      </c>
      <c r="D16" s="25" t="s">
        <v>8</v>
      </c>
      <c r="E16" s="40" t="s">
        <v>12</v>
      </c>
    </row>
    <row r="17" spans="1:7" x14ac:dyDescent="0.2">
      <c r="A17" s="70" t="s">
        <v>9</v>
      </c>
      <c r="B17" s="26">
        <v>2010</v>
      </c>
      <c r="C17" s="26">
        <v>2157</v>
      </c>
      <c r="D17" s="16">
        <v>4167</v>
      </c>
      <c r="E17" s="35">
        <v>109.5921</v>
      </c>
      <c r="G17" s="41"/>
    </row>
    <row r="18" spans="1:7" x14ac:dyDescent="0.2">
      <c r="A18" s="70" t="s">
        <v>7</v>
      </c>
      <c r="B18" s="27"/>
      <c r="C18" s="26"/>
      <c r="D18" s="16">
        <v>0</v>
      </c>
      <c r="E18" s="35">
        <v>0</v>
      </c>
      <c r="G18" s="41"/>
    </row>
    <row r="19" spans="1:7" x14ac:dyDescent="0.2">
      <c r="A19" s="70" t="s">
        <v>2</v>
      </c>
      <c r="B19" s="26">
        <v>284</v>
      </c>
      <c r="C19" s="26">
        <v>421</v>
      </c>
      <c r="D19" s="35">
        <v>705</v>
      </c>
      <c r="E19" s="35">
        <v>92.002499999999998</v>
      </c>
    </row>
    <row r="20" spans="1:7" x14ac:dyDescent="0.2">
      <c r="A20" s="70" t="s">
        <v>6</v>
      </c>
      <c r="B20" s="26">
        <v>77</v>
      </c>
      <c r="C20" s="26">
        <v>71</v>
      </c>
      <c r="D20" s="35">
        <v>148</v>
      </c>
      <c r="E20" s="22">
        <v>89.924800000000005</v>
      </c>
    </row>
    <row r="21" spans="1:7" x14ac:dyDescent="0.2">
      <c r="A21" s="70" t="s">
        <v>1</v>
      </c>
      <c r="B21" s="26">
        <v>529</v>
      </c>
      <c r="C21" s="26">
        <v>556</v>
      </c>
      <c r="D21" s="35">
        <v>1085</v>
      </c>
      <c r="E21" s="22">
        <v>81.375</v>
      </c>
    </row>
    <row r="22" spans="1:7" x14ac:dyDescent="0.2">
      <c r="A22" s="70" t="s">
        <v>3</v>
      </c>
      <c r="B22" s="26">
        <v>825</v>
      </c>
      <c r="C22" s="26">
        <v>667</v>
      </c>
      <c r="D22" s="35">
        <v>1492</v>
      </c>
      <c r="E22" s="22">
        <v>274.2296</v>
      </c>
    </row>
    <row r="23" spans="1:7" x14ac:dyDescent="0.2">
      <c r="A23" s="70" t="s">
        <v>13</v>
      </c>
      <c r="B23" s="28"/>
      <c r="C23" s="28"/>
      <c r="D23" s="35"/>
      <c r="E23" s="22">
        <v>201.59460000000001</v>
      </c>
    </row>
    <row r="25" spans="1:7" x14ac:dyDescent="0.2">
      <c r="A25" s="37" t="s">
        <v>34</v>
      </c>
      <c r="B25" s="37">
        <v>840</v>
      </c>
      <c r="C25" s="37"/>
      <c r="D25" s="37"/>
      <c r="E25" s="37"/>
    </row>
    <row r="26" spans="1:7" x14ac:dyDescent="0.2">
      <c r="A26" s="70">
        <v>2016</v>
      </c>
      <c r="B26" s="54" t="s">
        <v>35</v>
      </c>
      <c r="C26" s="56" t="s">
        <v>36</v>
      </c>
      <c r="D26" s="25" t="s">
        <v>8</v>
      </c>
      <c r="E26" s="40" t="s">
        <v>12</v>
      </c>
    </row>
    <row r="27" spans="1:7" x14ac:dyDescent="0.2">
      <c r="A27" s="70" t="s">
        <v>9</v>
      </c>
      <c r="B27" s="26">
        <v>1998</v>
      </c>
      <c r="C27" s="26">
        <v>1921</v>
      </c>
      <c r="D27" s="16">
        <v>3919</v>
      </c>
      <c r="E27" s="35">
        <v>103.0697</v>
      </c>
      <c r="G27" s="41"/>
    </row>
    <row r="28" spans="1:7" x14ac:dyDescent="0.2">
      <c r="A28" s="70" t="s">
        <v>7</v>
      </c>
      <c r="B28" s="27"/>
      <c r="C28" s="26"/>
      <c r="D28" s="16">
        <v>0</v>
      </c>
      <c r="E28" s="35">
        <v>0</v>
      </c>
      <c r="G28" s="41"/>
    </row>
    <row r="29" spans="1:7" x14ac:dyDescent="0.2">
      <c r="A29" s="70" t="s">
        <v>2</v>
      </c>
      <c r="B29" s="26">
        <v>339</v>
      </c>
      <c r="C29" s="26">
        <v>545</v>
      </c>
      <c r="D29" s="35">
        <v>884</v>
      </c>
      <c r="E29" s="35">
        <v>115.36200000000001</v>
      </c>
    </row>
    <row r="30" spans="1:7" x14ac:dyDescent="0.2">
      <c r="A30" s="70" t="s">
        <v>6</v>
      </c>
      <c r="B30" s="26">
        <v>86</v>
      </c>
      <c r="C30" s="26">
        <v>71</v>
      </c>
      <c r="D30" s="35">
        <v>157</v>
      </c>
      <c r="E30" s="22">
        <v>95.393200000000007</v>
      </c>
    </row>
    <row r="31" spans="1:7" x14ac:dyDescent="0.2">
      <c r="A31" s="70" t="s">
        <v>1</v>
      </c>
      <c r="B31" s="26">
        <v>584</v>
      </c>
      <c r="C31" s="26">
        <v>701</v>
      </c>
      <c r="D31" s="35">
        <v>1285</v>
      </c>
      <c r="E31" s="22">
        <v>96.375</v>
      </c>
    </row>
    <row r="32" spans="1:7" x14ac:dyDescent="0.2">
      <c r="A32" s="70" t="s">
        <v>3</v>
      </c>
      <c r="B32" s="26">
        <v>799</v>
      </c>
      <c r="C32" s="26">
        <v>599</v>
      </c>
      <c r="D32" s="35">
        <v>1398</v>
      </c>
      <c r="E32" s="22">
        <v>256.95240000000001</v>
      </c>
    </row>
    <row r="33" spans="1:7" x14ac:dyDescent="0.2">
      <c r="A33" s="70" t="s">
        <v>13</v>
      </c>
      <c r="B33" s="28"/>
      <c r="C33" s="28"/>
      <c r="D33" s="35"/>
      <c r="E33" s="22">
        <v>218.43170000000001</v>
      </c>
    </row>
    <row r="34" spans="1:7" x14ac:dyDescent="0.2">
      <c r="A34" s="37"/>
      <c r="B34" s="27"/>
      <c r="C34" s="27"/>
      <c r="D34" s="27"/>
      <c r="E34" s="27"/>
    </row>
    <row r="35" spans="1:7" x14ac:dyDescent="0.2">
      <c r="A35" s="37" t="s">
        <v>34</v>
      </c>
      <c r="B35" s="27">
        <v>840</v>
      </c>
      <c r="C35" s="27"/>
      <c r="D35" s="27"/>
      <c r="E35" s="27"/>
    </row>
    <row r="36" spans="1:7" x14ac:dyDescent="0.2">
      <c r="A36" s="70">
        <v>2015</v>
      </c>
      <c r="B36" s="56" t="s">
        <v>35</v>
      </c>
      <c r="C36" s="56" t="s">
        <v>36</v>
      </c>
      <c r="D36" s="28" t="s">
        <v>8</v>
      </c>
      <c r="E36" s="24" t="s">
        <v>12</v>
      </c>
    </row>
    <row r="37" spans="1:7" x14ac:dyDescent="0.2">
      <c r="A37" s="70" t="s">
        <v>9</v>
      </c>
      <c r="B37" s="26">
        <v>1983</v>
      </c>
      <c r="C37" s="26">
        <v>1906</v>
      </c>
      <c r="D37" s="35">
        <v>3889</v>
      </c>
      <c r="E37" s="35">
        <v>102.2807</v>
      </c>
      <c r="G37" s="41"/>
    </row>
    <row r="38" spans="1:7" x14ac:dyDescent="0.2">
      <c r="A38" s="70" t="s">
        <v>7</v>
      </c>
      <c r="B38" s="27">
        <v>0</v>
      </c>
      <c r="C38" s="26">
        <v>0</v>
      </c>
      <c r="D38" s="35">
        <v>0</v>
      </c>
      <c r="E38" s="35">
        <v>0</v>
      </c>
      <c r="G38" s="41"/>
    </row>
    <row r="39" spans="1:7" x14ac:dyDescent="0.2">
      <c r="A39" s="70" t="s">
        <v>2</v>
      </c>
      <c r="B39" s="26">
        <v>546</v>
      </c>
      <c r="C39" s="26">
        <v>555</v>
      </c>
      <c r="D39" s="35">
        <v>1101</v>
      </c>
      <c r="E39" s="35">
        <v>143.68049999999999</v>
      </c>
    </row>
    <row r="40" spans="1:7" x14ac:dyDescent="0.2">
      <c r="A40" s="70" t="s">
        <v>6</v>
      </c>
      <c r="B40" s="26">
        <v>94</v>
      </c>
      <c r="C40" s="26">
        <v>77</v>
      </c>
      <c r="D40" s="35">
        <v>171</v>
      </c>
      <c r="E40" s="22">
        <v>103.89960000000001</v>
      </c>
    </row>
    <row r="41" spans="1:7" x14ac:dyDescent="0.2">
      <c r="A41" s="70" t="s">
        <v>1</v>
      </c>
      <c r="B41" s="26">
        <v>998</v>
      </c>
      <c r="C41" s="26">
        <v>718</v>
      </c>
      <c r="D41" s="35">
        <v>1716</v>
      </c>
      <c r="E41" s="22">
        <v>128.69999999999999</v>
      </c>
    </row>
    <row r="42" spans="1:7" x14ac:dyDescent="0.2">
      <c r="A42" s="70" t="s">
        <v>3</v>
      </c>
      <c r="B42" s="26">
        <v>673</v>
      </c>
      <c r="C42" s="26">
        <v>587</v>
      </c>
      <c r="D42" s="35">
        <v>1260</v>
      </c>
      <c r="E42" s="22">
        <v>231.58800000000002</v>
      </c>
    </row>
    <row r="43" spans="1:7" x14ac:dyDescent="0.2">
      <c r="A43" s="70" t="s">
        <v>13</v>
      </c>
      <c r="B43" s="28"/>
      <c r="C43" s="28"/>
      <c r="D43" s="35"/>
      <c r="E43" s="22">
        <v>245.96119999999999</v>
      </c>
    </row>
    <row r="44" spans="1:7" x14ac:dyDescent="0.2">
      <c r="A44" s="37"/>
      <c r="B44" s="27"/>
      <c r="C44" s="27"/>
      <c r="D44" s="27"/>
      <c r="E44" s="27"/>
    </row>
    <row r="45" spans="1:7" x14ac:dyDescent="0.2">
      <c r="A45" s="37" t="s">
        <v>34</v>
      </c>
      <c r="B45" s="27">
        <v>840</v>
      </c>
      <c r="C45" s="27"/>
      <c r="D45" s="27"/>
      <c r="E45" s="27"/>
    </row>
    <row r="46" spans="1:7" x14ac:dyDescent="0.2">
      <c r="A46" s="70">
        <v>2010</v>
      </c>
      <c r="B46" s="55" t="s">
        <v>35</v>
      </c>
      <c r="C46" s="56" t="s">
        <v>36</v>
      </c>
      <c r="D46" s="28" t="s">
        <v>8</v>
      </c>
      <c r="E46" s="24" t="s">
        <v>12</v>
      </c>
    </row>
    <row r="47" spans="1:7" x14ac:dyDescent="0.2">
      <c r="A47" s="70" t="s">
        <v>9</v>
      </c>
      <c r="B47" s="26">
        <v>2060</v>
      </c>
      <c r="C47" s="26">
        <v>1888</v>
      </c>
      <c r="D47" s="35">
        <v>3948</v>
      </c>
      <c r="E47" s="35">
        <v>103.83240000000001</v>
      </c>
      <c r="G47" s="41">
        <v>1</v>
      </c>
    </row>
    <row r="48" spans="1:7" x14ac:dyDescent="0.2">
      <c r="A48" s="70" t="s">
        <v>7</v>
      </c>
      <c r="B48" s="27"/>
      <c r="C48" s="26">
        <v>0</v>
      </c>
      <c r="D48" s="35">
        <v>0</v>
      </c>
      <c r="E48" s="35">
        <v>0</v>
      </c>
      <c r="G48" s="41">
        <v>0</v>
      </c>
    </row>
    <row r="49" spans="1:5" x14ac:dyDescent="0.2">
      <c r="A49" s="70" t="s">
        <v>2</v>
      </c>
      <c r="B49" s="26">
        <v>603</v>
      </c>
      <c r="C49" s="26">
        <v>733</v>
      </c>
      <c r="D49" s="35">
        <v>1336</v>
      </c>
      <c r="E49" s="35">
        <v>174.34800000000001</v>
      </c>
    </row>
    <row r="50" spans="1:5" x14ac:dyDescent="0.2">
      <c r="A50" s="70" t="s">
        <v>6</v>
      </c>
      <c r="B50" s="26">
        <v>112</v>
      </c>
      <c r="C50" s="26">
        <v>98</v>
      </c>
      <c r="D50" s="35">
        <v>210</v>
      </c>
      <c r="E50" s="22">
        <v>127.596</v>
      </c>
    </row>
    <row r="51" spans="1:5" x14ac:dyDescent="0.2">
      <c r="A51" s="70" t="s">
        <v>1</v>
      </c>
      <c r="B51" s="26">
        <v>1234</v>
      </c>
      <c r="C51" s="26">
        <v>1004</v>
      </c>
      <c r="D51" s="35">
        <v>2238</v>
      </c>
      <c r="E51" s="22">
        <v>167.85</v>
      </c>
    </row>
    <row r="52" spans="1:5" x14ac:dyDescent="0.2">
      <c r="A52" s="70" t="s">
        <v>3</v>
      </c>
      <c r="B52" s="26">
        <v>437</v>
      </c>
      <c r="C52" s="26">
        <v>349</v>
      </c>
      <c r="D52" s="35">
        <v>786</v>
      </c>
      <c r="E52" s="22">
        <v>144.46680000000001</v>
      </c>
    </row>
    <row r="53" spans="1:5" x14ac:dyDescent="0.2">
      <c r="A53" s="70" t="s">
        <v>13</v>
      </c>
      <c r="B53" s="28"/>
      <c r="C53" s="28"/>
      <c r="D53" s="35"/>
      <c r="E53" s="22">
        <v>278.18040000000002</v>
      </c>
    </row>
    <row r="57" spans="1:5" x14ac:dyDescent="0.2">
      <c r="A57" s="69" t="s">
        <v>74</v>
      </c>
      <c r="D57" s="69"/>
      <c r="E57" s="69"/>
    </row>
    <row r="58" spans="1:5" x14ac:dyDescent="0.2">
      <c r="A58" s="58" t="s">
        <v>71</v>
      </c>
    </row>
    <row r="59" spans="1:5" ht="25.5" x14ac:dyDescent="0.2">
      <c r="A59" s="59" t="s">
        <v>72</v>
      </c>
    </row>
    <row r="60" spans="1:5" x14ac:dyDescent="0.2">
      <c r="A60" s="60" t="s">
        <v>73</v>
      </c>
    </row>
    <row r="61" spans="1:5" ht="25.5" x14ac:dyDescent="0.2">
      <c r="A61" s="61" t="s">
        <v>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CE6A-0808-42BF-BB1A-93FEB4412AF5}">
  <dimension ref="A1:H61"/>
  <sheetViews>
    <sheetView showGridLines="0" workbookViewId="0">
      <selection activeCell="M21" sqref="M21"/>
    </sheetView>
  </sheetViews>
  <sheetFormatPr defaultRowHeight="12.75" x14ac:dyDescent="0.2"/>
  <cols>
    <col min="1" max="3" width="25.7109375" customWidth="1"/>
    <col min="4" max="5" width="13.140625" customWidth="1"/>
  </cols>
  <sheetData>
    <row r="1" spans="1:8" s="38" customFormat="1" ht="26.25" x14ac:dyDescent="0.4">
      <c r="A1" s="38" t="s">
        <v>79</v>
      </c>
    </row>
    <row r="2" spans="1:8" x14ac:dyDescent="0.2">
      <c r="A2" s="19"/>
      <c r="B2" s="19"/>
      <c r="C2" s="19"/>
      <c r="D2" s="19"/>
      <c r="E2" s="19"/>
    </row>
    <row r="3" spans="1:8" ht="15" x14ac:dyDescent="0.25">
      <c r="A3" s="50" t="s">
        <v>69</v>
      </c>
      <c r="B3" s="19"/>
      <c r="C3" s="19"/>
      <c r="D3" s="50"/>
      <c r="E3" s="50"/>
    </row>
    <row r="5" spans="1:8" x14ac:dyDescent="0.2">
      <c r="A5" s="37" t="s">
        <v>37</v>
      </c>
      <c r="B5" s="37">
        <v>787</v>
      </c>
      <c r="C5" s="37"/>
      <c r="D5" s="37"/>
      <c r="E5" s="37"/>
      <c r="H5" s="79"/>
    </row>
    <row r="6" spans="1:8" x14ac:dyDescent="0.2">
      <c r="A6" s="70">
        <v>2020</v>
      </c>
      <c r="B6" s="57" t="s">
        <v>38</v>
      </c>
      <c r="C6" s="57" t="s">
        <v>39</v>
      </c>
      <c r="D6" s="25" t="s">
        <v>8</v>
      </c>
      <c r="E6" s="40" t="s">
        <v>12</v>
      </c>
    </row>
    <row r="7" spans="1:8" x14ac:dyDescent="0.2">
      <c r="A7" s="70" t="s">
        <v>9</v>
      </c>
      <c r="B7" s="26">
        <v>3082</v>
      </c>
      <c r="C7" s="26">
        <v>2362</v>
      </c>
      <c r="D7" s="35">
        <f>SUM(B7:C7)</f>
        <v>5444</v>
      </c>
      <c r="E7" s="35">
        <f>D7*Enhedsforbrug!$C$7</f>
        <v>143.1772</v>
      </c>
    </row>
    <row r="8" spans="1:8" x14ac:dyDescent="0.2">
      <c r="A8" s="70" t="s">
        <v>7</v>
      </c>
      <c r="B8" s="27">
        <v>890</v>
      </c>
      <c r="C8" s="26">
        <v>2048</v>
      </c>
      <c r="D8" s="35">
        <f t="shared" ref="D8:D12" si="0">SUM(B8:C8)</f>
        <v>2938</v>
      </c>
      <c r="E8" s="35">
        <f>D8*Enhedsforbrug!$C$8</f>
        <v>49.064599999999999</v>
      </c>
    </row>
    <row r="9" spans="1:8" x14ac:dyDescent="0.2">
      <c r="A9" s="70" t="s">
        <v>2</v>
      </c>
      <c r="B9" s="26">
        <v>300</v>
      </c>
      <c r="C9" s="26">
        <v>457</v>
      </c>
      <c r="D9" s="35">
        <f t="shared" si="0"/>
        <v>757</v>
      </c>
      <c r="E9" s="35">
        <f>D9*Enhedsforbrug!$C$9</f>
        <v>98.788499999999999</v>
      </c>
    </row>
    <row r="10" spans="1:8" x14ac:dyDescent="0.2">
      <c r="A10" s="70" t="s">
        <v>6</v>
      </c>
      <c r="B10" s="26">
        <v>54</v>
      </c>
      <c r="C10" s="26">
        <v>101</v>
      </c>
      <c r="D10" s="35">
        <f t="shared" si="0"/>
        <v>155</v>
      </c>
      <c r="E10" s="22">
        <f>D10*Enhedsforbrug!$C$10</f>
        <v>94.178000000000011</v>
      </c>
      <c r="F10" s="88"/>
    </row>
    <row r="11" spans="1:8" x14ac:dyDescent="0.2">
      <c r="A11" s="70" t="s">
        <v>1</v>
      </c>
      <c r="B11" s="26">
        <v>736</v>
      </c>
      <c r="C11" s="26">
        <v>1272</v>
      </c>
      <c r="D11" s="35">
        <f t="shared" si="0"/>
        <v>2008</v>
      </c>
      <c r="E11" s="22">
        <f>D11*Enhedsforbrug!$C$11</f>
        <v>150.6</v>
      </c>
      <c r="F11" s="88"/>
    </row>
    <row r="12" spans="1:8" x14ac:dyDescent="0.2">
      <c r="A12" s="70" t="s">
        <v>3</v>
      </c>
      <c r="B12" s="26">
        <v>840</v>
      </c>
      <c r="C12" s="26">
        <v>1318</v>
      </c>
      <c r="D12" s="35">
        <f t="shared" si="0"/>
        <v>2158</v>
      </c>
      <c r="E12" s="22">
        <f>D12*Enhedsforbrug!$C$12</f>
        <v>396.64040000000006</v>
      </c>
      <c r="F12" s="88"/>
    </row>
    <row r="13" spans="1:8" x14ac:dyDescent="0.2">
      <c r="A13" s="70" t="s">
        <v>13</v>
      </c>
      <c r="B13" s="28"/>
      <c r="C13" s="28"/>
      <c r="D13" s="35"/>
      <c r="E13" s="22">
        <f>SUM(E7:E9)</f>
        <v>291.03030000000001</v>
      </c>
      <c r="F13" s="88"/>
    </row>
    <row r="15" spans="1:8" x14ac:dyDescent="0.2">
      <c r="A15" s="37" t="s">
        <v>37</v>
      </c>
      <c r="B15" s="37">
        <v>787</v>
      </c>
      <c r="C15" s="37"/>
      <c r="D15" s="37"/>
      <c r="E15" s="37"/>
    </row>
    <row r="16" spans="1:8" x14ac:dyDescent="0.2">
      <c r="A16" s="70">
        <v>2018</v>
      </c>
      <c r="B16" s="54" t="s">
        <v>38</v>
      </c>
      <c r="C16" s="54" t="s">
        <v>39</v>
      </c>
      <c r="D16" s="25" t="s">
        <v>8</v>
      </c>
      <c r="E16" s="40" t="s">
        <v>12</v>
      </c>
    </row>
    <row r="17" spans="1:7" x14ac:dyDescent="0.2">
      <c r="A17" s="70" t="s">
        <v>9</v>
      </c>
      <c r="B17" s="26">
        <v>3082</v>
      </c>
      <c r="C17" s="26">
        <v>2362</v>
      </c>
      <c r="D17" s="35">
        <v>5444</v>
      </c>
      <c r="E17" s="35">
        <v>143.1772</v>
      </c>
      <c r="G17" s="41"/>
    </row>
    <row r="18" spans="1:7" x14ac:dyDescent="0.2">
      <c r="A18" s="70" t="s">
        <v>7</v>
      </c>
      <c r="B18" s="27">
        <v>890</v>
      </c>
      <c r="C18" s="26">
        <v>2048</v>
      </c>
      <c r="D18" s="35">
        <v>2938</v>
      </c>
      <c r="E18" s="35">
        <v>49.064599999999999</v>
      </c>
      <c r="G18" s="41"/>
    </row>
    <row r="19" spans="1:7" x14ac:dyDescent="0.2">
      <c r="A19" s="70" t="s">
        <v>2</v>
      </c>
      <c r="B19" s="26">
        <v>300</v>
      </c>
      <c r="C19" s="26">
        <v>457</v>
      </c>
      <c r="D19" s="35">
        <v>757</v>
      </c>
      <c r="E19" s="35">
        <v>98.788499999999999</v>
      </c>
    </row>
    <row r="20" spans="1:7" x14ac:dyDescent="0.2">
      <c r="A20" s="70" t="s">
        <v>6</v>
      </c>
      <c r="B20" s="26">
        <v>54</v>
      </c>
      <c r="C20" s="26">
        <v>101</v>
      </c>
      <c r="D20" s="35">
        <v>155</v>
      </c>
      <c r="E20" s="22">
        <v>94.178000000000011</v>
      </c>
    </row>
    <row r="21" spans="1:7" x14ac:dyDescent="0.2">
      <c r="A21" s="70" t="s">
        <v>1</v>
      </c>
      <c r="B21" s="26">
        <v>736</v>
      </c>
      <c r="C21" s="26">
        <v>1272</v>
      </c>
      <c r="D21" s="35">
        <v>2008</v>
      </c>
      <c r="E21" s="22">
        <v>150.6</v>
      </c>
    </row>
    <row r="22" spans="1:7" x14ac:dyDescent="0.2">
      <c r="A22" s="70" t="s">
        <v>3</v>
      </c>
      <c r="B22" s="26">
        <v>840</v>
      </c>
      <c r="C22" s="26">
        <v>1318</v>
      </c>
      <c r="D22" s="35">
        <v>2158</v>
      </c>
      <c r="E22" s="22">
        <v>396.64040000000006</v>
      </c>
    </row>
    <row r="23" spans="1:7" x14ac:dyDescent="0.2">
      <c r="A23" s="70" t="s">
        <v>13</v>
      </c>
      <c r="B23" s="28"/>
      <c r="C23" s="28"/>
      <c r="D23" s="35"/>
      <c r="E23" s="22">
        <v>291.03030000000001</v>
      </c>
    </row>
    <row r="24" spans="1:7" x14ac:dyDescent="0.2">
      <c r="A24" s="37"/>
      <c r="B24" s="27"/>
      <c r="C24" s="27"/>
      <c r="D24" s="27"/>
      <c r="E24" s="27"/>
    </row>
    <row r="25" spans="1:7" x14ac:dyDescent="0.2">
      <c r="A25" s="37" t="s">
        <v>37</v>
      </c>
      <c r="B25" s="37">
        <v>787</v>
      </c>
      <c r="C25" s="37"/>
      <c r="D25" s="37"/>
      <c r="E25" s="37"/>
    </row>
    <row r="26" spans="1:7" x14ac:dyDescent="0.2">
      <c r="A26" s="70">
        <v>2016</v>
      </c>
      <c r="B26" s="54" t="s">
        <v>38</v>
      </c>
      <c r="C26" s="54" t="s">
        <v>39</v>
      </c>
      <c r="D26" s="25" t="s">
        <v>8</v>
      </c>
      <c r="E26" s="40" t="s">
        <v>12</v>
      </c>
    </row>
    <row r="27" spans="1:7" x14ac:dyDescent="0.2">
      <c r="A27" s="70" t="s">
        <v>9</v>
      </c>
      <c r="B27" s="26">
        <v>3959</v>
      </c>
      <c r="C27" s="26">
        <v>4438</v>
      </c>
      <c r="D27" s="16">
        <v>7433</v>
      </c>
      <c r="E27" s="35">
        <v>195.4879</v>
      </c>
      <c r="G27" s="41"/>
    </row>
    <row r="28" spans="1:7" x14ac:dyDescent="0.2">
      <c r="A28" s="70" t="s">
        <v>7</v>
      </c>
      <c r="B28" s="27"/>
      <c r="C28" s="26"/>
      <c r="D28" s="16">
        <v>964</v>
      </c>
      <c r="E28" s="35">
        <v>16.098800000000001</v>
      </c>
      <c r="G28" s="41"/>
    </row>
    <row r="29" spans="1:7" x14ac:dyDescent="0.2">
      <c r="A29" s="70" t="s">
        <v>2</v>
      </c>
      <c r="B29" s="26">
        <v>359</v>
      </c>
      <c r="C29" s="26">
        <v>581</v>
      </c>
      <c r="D29" s="35">
        <v>940</v>
      </c>
      <c r="E29" s="35">
        <v>122.67</v>
      </c>
    </row>
    <row r="30" spans="1:7" x14ac:dyDescent="0.2">
      <c r="A30" s="70" t="s">
        <v>6</v>
      </c>
      <c r="B30" s="26">
        <v>66</v>
      </c>
      <c r="C30" s="26">
        <v>124</v>
      </c>
      <c r="D30" s="35">
        <v>190</v>
      </c>
      <c r="E30" s="22">
        <v>115.444</v>
      </c>
    </row>
    <row r="31" spans="1:7" x14ac:dyDescent="0.2">
      <c r="A31" s="70" t="s">
        <v>1</v>
      </c>
      <c r="B31" s="26">
        <v>865</v>
      </c>
      <c r="C31" s="26">
        <v>1460</v>
      </c>
      <c r="D31" s="35">
        <v>2325</v>
      </c>
      <c r="E31" s="22">
        <v>174.375</v>
      </c>
    </row>
    <row r="32" spans="1:7" x14ac:dyDescent="0.2">
      <c r="A32" s="70" t="s">
        <v>3</v>
      </c>
      <c r="B32" s="26">
        <v>863</v>
      </c>
      <c r="C32" s="26">
        <v>1269</v>
      </c>
      <c r="D32" s="35">
        <v>2132</v>
      </c>
      <c r="E32" s="22">
        <v>391.86160000000007</v>
      </c>
    </row>
    <row r="33" spans="1:7" x14ac:dyDescent="0.2">
      <c r="A33" s="70" t="s">
        <v>13</v>
      </c>
      <c r="B33" s="28"/>
      <c r="C33" s="28"/>
      <c r="D33" s="35"/>
      <c r="E33" s="22">
        <v>334.25670000000002</v>
      </c>
    </row>
    <row r="34" spans="1:7" x14ac:dyDescent="0.2">
      <c r="A34" s="37"/>
      <c r="B34" s="27"/>
      <c r="C34" s="27"/>
      <c r="D34" s="27"/>
      <c r="E34" s="27"/>
    </row>
    <row r="35" spans="1:7" x14ac:dyDescent="0.2">
      <c r="A35" s="37" t="s">
        <v>37</v>
      </c>
      <c r="B35" s="37">
        <v>787</v>
      </c>
      <c r="C35" s="37"/>
      <c r="D35" s="37"/>
      <c r="E35" s="37"/>
    </row>
    <row r="36" spans="1:7" x14ac:dyDescent="0.2">
      <c r="A36" s="70">
        <v>2014</v>
      </c>
      <c r="B36" s="55" t="s">
        <v>40</v>
      </c>
      <c r="C36" s="55" t="s">
        <v>41</v>
      </c>
      <c r="D36" s="25" t="s">
        <v>8</v>
      </c>
      <c r="E36" s="40" t="s">
        <v>12</v>
      </c>
    </row>
    <row r="37" spans="1:7" x14ac:dyDescent="0.2">
      <c r="A37" s="70" t="s">
        <v>9</v>
      </c>
      <c r="B37" s="26">
        <v>3350</v>
      </c>
      <c r="C37" s="26">
        <v>2833</v>
      </c>
      <c r="D37" s="35">
        <v>6183</v>
      </c>
      <c r="E37" s="35">
        <v>162.6129</v>
      </c>
      <c r="G37" s="41">
        <f>D37/SUM($D$37:$D$38)</f>
        <v>0.65987193169690506</v>
      </c>
    </row>
    <row r="38" spans="1:7" x14ac:dyDescent="0.2">
      <c r="A38" s="70" t="s">
        <v>7</v>
      </c>
      <c r="B38" s="27">
        <v>1127</v>
      </c>
      <c r="C38" s="26">
        <v>2060</v>
      </c>
      <c r="D38" s="35">
        <v>3187</v>
      </c>
      <c r="E38" s="35">
        <v>53.222899999999996</v>
      </c>
      <c r="G38" s="41">
        <f>D38/SUM($D$37:$D$38)</f>
        <v>0.340128068303095</v>
      </c>
    </row>
    <row r="39" spans="1:7" x14ac:dyDescent="0.2">
      <c r="A39" s="70" t="s">
        <v>2</v>
      </c>
      <c r="B39" s="26">
        <v>461</v>
      </c>
      <c r="C39" s="26">
        <v>889</v>
      </c>
      <c r="D39" s="35">
        <v>1350</v>
      </c>
      <c r="E39" s="35">
        <v>176.17500000000001</v>
      </c>
    </row>
    <row r="40" spans="1:7" x14ac:dyDescent="0.2">
      <c r="A40" s="70" t="s">
        <v>6</v>
      </c>
      <c r="B40" s="26">
        <v>85</v>
      </c>
      <c r="C40" s="26">
        <v>157</v>
      </c>
      <c r="D40" s="35">
        <v>242</v>
      </c>
      <c r="E40" s="22">
        <v>147.03919999999999</v>
      </c>
    </row>
    <row r="41" spans="1:7" x14ac:dyDescent="0.2">
      <c r="A41" s="70" t="s">
        <v>1</v>
      </c>
      <c r="B41" s="26">
        <v>1349</v>
      </c>
      <c r="C41" s="26">
        <v>2670</v>
      </c>
      <c r="D41" s="35">
        <v>4019</v>
      </c>
      <c r="E41" s="22">
        <v>301.42500000000001</v>
      </c>
    </row>
    <row r="42" spans="1:7" x14ac:dyDescent="0.2">
      <c r="A42" s="70" t="s">
        <v>3</v>
      </c>
      <c r="B42" s="26">
        <v>822</v>
      </c>
      <c r="C42" s="26">
        <v>1210</v>
      </c>
      <c r="D42" s="35">
        <v>2032</v>
      </c>
      <c r="E42" s="22">
        <v>373.48160000000001</v>
      </c>
    </row>
    <row r="43" spans="1:7" x14ac:dyDescent="0.2">
      <c r="A43" s="70" t="s">
        <v>13</v>
      </c>
      <c r="B43" s="28"/>
      <c r="C43" s="28"/>
      <c r="D43" s="35"/>
      <c r="E43" s="22">
        <v>392.01080000000002</v>
      </c>
    </row>
    <row r="44" spans="1:7" x14ac:dyDescent="0.2">
      <c r="A44" s="37"/>
      <c r="B44" s="27"/>
      <c r="C44" s="27"/>
      <c r="D44" s="27"/>
      <c r="E44" s="27"/>
    </row>
    <row r="45" spans="1:7" x14ac:dyDescent="0.2">
      <c r="A45" s="37" t="s">
        <v>37</v>
      </c>
      <c r="B45" s="27">
        <v>787</v>
      </c>
      <c r="C45" s="27"/>
      <c r="D45" s="27"/>
      <c r="E45" s="27"/>
    </row>
    <row r="46" spans="1:7" x14ac:dyDescent="0.2">
      <c r="A46" s="70">
        <v>2010</v>
      </c>
      <c r="B46" s="56" t="s">
        <v>40</v>
      </c>
      <c r="C46" s="55" t="s">
        <v>41</v>
      </c>
      <c r="D46" s="28" t="s">
        <v>8</v>
      </c>
      <c r="E46" s="24" t="s">
        <v>12</v>
      </c>
    </row>
    <row r="47" spans="1:7" x14ac:dyDescent="0.2">
      <c r="A47" s="70" t="s">
        <v>9</v>
      </c>
      <c r="B47" s="26">
        <v>2616</v>
      </c>
      <c r="C47" s="26">
        <v>4601</v>
      </c>
      <c r="D47" s="35">
        <v>7217</v>
      </c>
      <c r="E47" s="35">
        <v>189.80709999999999</v>
      </c>
      <c r="G47" s="41">
        <f>D47/SUM($D$47:$D$48)</f>
        <v>0.88519563350913777</v>
      </c>
    </row>
    <row r="48" spans="1:7" x14ac:dyDescent="0.2">
      <c r="A48" s="70" t="s">
        <v>7</v>
      </c>
      <c r="B48" s="27">
        <v>936</v>
      </c>
      <c r="C48" s="26"/>
      <c r="D48" s="35">
        <v>936</v>
      </c>
      <c r="E48" s="35">
        <v>15.6312</v>
      </c>
      <c r="G48" s="41">
        <f>D48/SUM($D$47:$D$48)</f>
        <v>0.11480436649086226</v>
      </c>
    </row>
    <row r="49" spans="1:5" x14ac:dyDescent="0.2">
      <c r="A49" s="70" t="s">
        <v>2</v>
      </c>
      <c r="B49" s="26">
        <v>278</v>
      </c>
      <c r="C49" s="26">
        <v>822</v>
      </c>
      <c r="D49" s="35">
        <v>1100</v>
      </c>
      <c r="E49" s="35">
        <v>143.55000000000001</v>
      </c>
    </row>
    <row r="50" spans="1:5" x14ac:dyDescent="0.2">
      <c r="A50" s="70" t="s">
        <v>6</v>
      </c>
      <c r="B50" s="26">
        <v>79</v>
      </c>
      <c r="C50" s="26">
        <v>177</v>
      </c>
      <c r="D50" s="35">
        <v>256</v>
      </c>
      <c r="E50" s="22">
        <v>155.54560000000001</v>
      </c>
    </row>
    <row r="51" spans="1:5" x14ac:dyDescent="0.2">
      <c r="A51" s="70" t="s">
        <v>1</v>
      </c>
      <c r="B51" s="26">
        <v>1270</v>
      </c>
      <c r="C51" s="26">
        <v>2306</v>
      </c>
      <c r="D51" s="35">
        <v>3576</v>
      </c>
      <c r="E51" s="22">
        <v>268.2</v>
      </c>
    </row>
    <row r="52" spans="1:5" x14ac:dyDescent="0.2">
      <c r="A52" s="70" t="s">
        <v>3</v>
      </c>
      <c r="B52" s="26">
        <v>511</v>
      </c>
      <c r="C52" s="26">
        <v>918</v>
      </c>
      <c r="D52" s="35">
        <v>1429</v>
      </c>
      <c r="E52" s="22">
        <v>262.65020000000004</v>
      </c>
    </row>
    <row r="53" spans="1:5" x14ac:dyDescent="0.2">
      <c r="A53" s="70" t="s">
        <v>13</v>
      </c>
      <c r="B53" s="28"/>
      <c r="C53" s="28"/>
      <c r="D53" s="35"/>
      <c r="E53" s="22">
        <v>348.98829999999998</v>
      </c>
    </row>
    <row r="54" spans="1:5" x14ac:dyDescent="0.2">
      <c r="B54" s="36"/>
      <c r="C54" s="36"/>
    </row>
    <row r="57" spans="1:5" x14ac:dyDescent="0.2">
      <c r="A57" s="69" t="s">
        <v>74</v>
      </c>
      <c r="D57" s="69"/>
      <c r="E57" s="69"/>
    </row>
    <row r="58" spans="1:5" x14ac:dyDescent="0.2">
      <c r="A58" s="58" t="s">
        <v>71</v>
      </c>
    </row>
    <row r="59" spans="1:5" ht="25.5" x14ac:dyDescent="0.2">
      <c r="A59" s="59" t="s">
        <v>72</v>
      </c>
    </row>
    <row r="60" spans="1:5" x14ac:dyDescent="0.2">
      <c r="A60" s="60" t="s">
        <v>73</v>
      </c>
    </row>
    <row r="61" spans="1:5" ht="25.5" x14ac:dyDescent="0.2">
      <c r="A61" s="61" t="s">
        <v>82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AEB330F5AB5F43B244BD5EBF09EFCA" ma:contentTypeVersion="16" ma:contentTypeDescription="Opret et nyt dokument." ma:contentTypeScope="" ma:versionID="d3bf6d1cc19b2d904f6c1ee00bbf0616">
  <xsd:schema xmlns:xsd="http://www.w3.org/2001/XMLSchema" xmlns:xs="http://www.w3.org/2001/XMLSchema" xmlns:p="http://schemas.microsoft.com/office/2006/metadata/properties" xmlns:ns2="fe121e20-e7f1-46f8-9cf0-3dcc1c9d6a71" xmlns:ns3="3cb11f44-5089-44be-a7dd-4fed73cd74f9" targetNamespace="http://schemas.microsoft.com/office/2006/metadata/properties" ma:root="true" ma:fieldsID="be0ec05a9baaa8ff27a867659fb4fc91" ns2:_="" ns3:_="">
    <xsd:import namespace="fe121e20-e7f1-46f8-9cf0-3dcc1c9d6a71"/>
    <xsd:import namespace="3cb11f44-5089-44be-a7dd-4fed73cd7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Datio" minOccurs="0"/>
                <xsd:element ref="ns2:oprettelsesdato" minOccurs="0"/>
                <xsd:element ref="ns2:Mappe_x0020_nr_x002e_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21e20-e7f1-46f8-9cf0-3dcc1c9d6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io" ma:index="20" nillable="true" ma:displayName="Dato" ma:format="DateTime" ma:internalName="Datio">
      <xsd:simpleType>
        <xsd:restriction base="dms:DateTime"/>
      </xsd:simpleType>
    </xsd:element>
    <xsd:element name="oprettelsesdato" ma:index="21" nillable="true" ma:displayName="oprettelsesdato" ma:format="DateTime" ma:internalName="oprettelsesdato">
      <xsd:simpleType>
        <xsd:restriction base="dms:DateTime"/>
      </xsd:simpleType>
    </xsd:element>
    <xsd:element name="Mappe_x0020_nr_x002e_" ma:index="22" nillable="true" ma:displayName="Mappe nr." ma:internalName="Mappe_x0020_nr_x002e_">
      <xsd:simpleType>
        <xsd:restriction base="dms:Number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11f44-5089-44be-a7dd-4fed73cd7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ppe_x0020_nr_x002e_ xmlns="fe121e20-e7f1-46f8-9cf0-3dcc1c9d6a71" xsi:nil="true"/>
    <Datio xmlns="fe121e20-e7f1-46f8-9cf0-3dcc1c9d6a71" xsi:nil="true"/>
    <oprettelsesdato xmlns="fe121e20-e7f1-46f8-9cf0-3dcc1c9d6a71" xsi:nil="true"/>
  </documentManagement>
</p:properties>
</file>

<file path=customXml/itemProps1.xml><?xml version="1.0" encoding="utf-8"?>
<ds:datastoreItem xmlns:ds="http://schemas.openxmlformats.org/officeDocument/2006/customXml" ds:itemID="{B2A79EDD-EAE2-481D-9CCA-B030E37A19DE}"/>
</file>

<file path=customXml/itemProps2.xml><?xml version="1.0" encoding="utf-8"?>
<ds:datastoreItem xmlns:ds="http://schemas.openxmlformats.org/officeDocument/2006/customXml" ds:itemID="{38511B95-D47E-4EA5-A84A-85C3DD01C54A}"/>
</file>

<file path=customXml/itemProps3.xml><?xml version="1.0" encoding="utf-8"?>
<ds:datastoreItem xmlns:ds="http://schemas.openxmlformats.org/officeDocument/2006/customXml" ds:itemID="{CEFE659D-096C-4EEA-812F-8A9063319D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810 Brønderslev</vt:lpstr>
      <vt:lpstr>813 Frederikshavn</vt:lpstr>
      <vt:lpstr>860 Hjørring</vt:lpstr>
      <vt:lpstr>849 Jammerbugt</vt:lpstr>
      <vt:lpstr>825 Læsø</vt:lpstr>
      <vt:lpstr>846 Mariagerfjord</vt:lpstr>
      <vt:lpstr>773 Morsø</vt:lpstr>
      <vt:lpstr>840 Rebild</vt:lpstr>
      <vt:lpstr>787 Thisted</vt:lpstr>
      <vt:lpstr>820 Vesthimmerlands</vt:lpstr>
      <vt:lpstr>851 Aalborg</vt:lpstr>
      <vt:lpstr>1081 Region Nordjylland</vt:lpstr>
      <vt:lpstr>1990Tillæg olie</vt:lpstr>
      <vt:lpstr>Enhedsforbrug</vt:lpstr>
      <vt:lpstr>1990</vt:lpstr>
    </vt:vector>
  </TitlesOfParts>
  <Company>Plan Energi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Jørgen Lindgaard Olesen</dc:creator>
  <cp:lastModifiedBy>Max Gunnar Ansas Guddat</cp:lastModifiedBy>
  <cp:lastPrinted>2022-02-08T12:16:32Z</cp:lastPrinted>
  <dcterms:created xsi:type="dcterms:W3CDTF">2008-06-19T09:15:53Z</dcterms:created>
  <dcterms:modified xsi:type="dcterms:W3CDTF">2022-02-17T10:26:40Z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0x010100B7AEB330F5AB5F43B244BD5EBF09EFCA</vt:lpwstr>
  </property>
</Properties>
</file>